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Forecasting Variables" sheetId="4" r:id="rId1"/>
    <sheet name="DCF" sheetId="5" r:id="rId2"/>
  </sheets>
  <calcPr calcId="162913"/>
</workbook>
</file>

<file path=xl/calcChain.xml><?xml version="1.0" encoding="utf-8"?>
<calcChain xmlns="http://schemas.openxmlformats.org/spreadsheetml/2006/main">
  <c r="A8" i="5" l="1"/>
  <c r="C11" i="5"/>
  <c r="D11" i="5" s="1"/>
  <c r="E11" i="5" s="1"/>
  <c r="F11" i="5" s="1"/>
  <c r="G11" i="5" s="1"/>
  <c r="H11" i="5" s="1"/>
  <c r="I11" i="5" s="1"/>
  <c r="J11" i="5" s="1"/>
  <c r="K11" i="5" s="1"/>
  <c r="L11" i="5" s="1"/>
  <c r="C13" i="5"/>
  <c r="C15" i="5" s="1"/>
  <c r="C16" i="5" s="1"/>
  <c r="D13" i="5"/>
  <c r="E13" i="5" s="1"/>
  <c r="B15" i="5"/>
  <c r="B19" i="5"/>
  <c r="B22" i="5" s="1"/>
  <c r="C21" i="5"/>
  <c r="D21" i="5"/>
  <c r="D29" i="5" s="1"/>
  <c r="B29" i="5"/>
  <c r="C29" i="5"/>
  <c r="C30" i="5"/>
  <c r="D30" i="5"/>
  <c r="E30" i="5"/>
  <c r="F30" i="5" s="1"/>
  <c r="G30" i="5" s="1"/>
  <c r="H30" i="5" s="1"/>
  <c r="I30" i="5" s="1"/>
  <c r="J30" i="5" s="1"/>
  <c r="K30" i="5" s="1"/>
  <c r="L30" i="5" s="1"/>
  <c r="C31" i="5"/>
  <c r="D13" i="4"/>
  <c r="E13" i="4"/>
  <c r="E25" i="4" s="1"/>
  <c r="F13" i="4"/>
  <c r="C25" i="4"/>
  <c r="D25" i="4"/>
  <c r="C27" i="4" l="1"/>
  <c r="E15" i="5"/>
  <c r="E18" i="5"/>
  <c r="E21" i="5"/>
  <c r="E29" i="5" s="1"/>
  <c r="F13" i="5"/>
  <c r="E16" i="5"/>
  <c r="E31" i="5"/>
  <c r="G13" i="4"/>
  <c r="F25" i="4"/>
  <c r="C23" i="5"/>
  <c r="B24" i="5"/>
  <c r="B26" i="5" s="1"/>
  <c r="B27" i="5" s="1"/>
  <c r="B32" i="5" s="1"/>
  <c r="D15" i="5"/>
  <c r="C18" i="5"/>
  <c r="C19" i="5" s="1"/>
  <c r="C22" i="5" s="1"/>
  <c r="D18" i="5"/>
  <c r="D31" i="5"/>
  <c r="D16" i="5"/>
  <c r="C24" i="5" l="1"/>
  <c r="C26" i="5" s="1"/>
  <c r="C27" i="5" s="1"/>
  <c r="D23" i="5"/>
  <c r="E23" i="5" s="1"/>
  <c r="E19" i="5"/>
  <c r="E22" i="5" s="1"/>
  <c r="E27" i="4"/>
  <c r="F15" i="5"/>
  <c r="F18" i="5"/>
  <c r="F21" i="5"/>
  <c r="F29" i="5" s="1"/>
  <c r="G13" i="5"/>
  <c r="F16" i="5"/>
  <c r="F31" i="5"/>
  <c r="D27" i="4"/>
  <c r="D19" i="5"/>
  <c r="D22" i="5" s="1"/>
  <c r="H13" i="4"/>
  <c r="G25" i="4"/>
  <c r="C32" i="5" l="1"/>
  <c r="C28" i="4"/>
  <c r="F23" i="5"/>
  <c r="E24" i="5"/>
  <c r="E26" i="5" s="1"/>
  <c r="E27" i="5" s="1"/>
  <c r="I13" i="4"/>
  <c r="H25" i="4"/>
  <c r="F19" i="5"/>
  <c r="F22" i="5" s="1"/>
  <c r="F27" i="4"/>
  <c r="D24" i="5"/>
  <c r="D26" i="5" s="1"/>
  <c r="D27" i="5"/>
  <c r="H13" i="5"/>
  <c r="G15" i="5"/>
  <c r="G16" i="5" s="1"/>
  <c r="G18" i="5"/>
  <c r="G21" i="5"/>
  <c r="G29" i="5" s="1"/>
  <c r="G31" i="5"/>
  <c r="G19" i="5" l="1"/>
  <c r="G22" i="5" s="1"/>
  <c r="G27" i="4"/>
  <c r="E32" i="5"/>
  <c r="E28" i="4"/>
  <c r="D28" i="4"/>
  <c r="D32" i="5"/>
  <c r="G23" i="5"/>
  <c r="H21" i="5"/>
  <c r="H29" i="5" s="1"/>
  <c r="I13" i="5"/>
  <c r="H31" i="5"/>
  <c r="H15" i="5"/>
  <c r="H16" i="5" s="1"/>
  <c r="H18" i="5"/>
  <c r="I25" i="4"/>
  <c r="J13" i="4"/>
  <c r="F24" i="5"/>
  <c r="F26" i="5" s="1"/>
  <c r="F27" i="5"/>
  <c r="C29" i="4"/>
  <c r="C36" i="5"/>
  <c r="H27" i="4" l="1"/>
  <c r="H19" i="5"/>
  <c r="H22" i="5" s="1"/>
  <c r="E36" i="5"/>
  <c r="E29" i="4"/>
  <c r="F28" i="4"/>
  <c r="F32" i="5"/>
  <c r="K13" i="4"/>
  <c r="J25" i="4"/>
  <c r="H23" i="5"/>
  <c r="I23" i="5" s="1"/>
  <c r="D29" i="4"/>
  <c r="D36" i="5"/>
  <c r="I15" i="5"/>
  <c r="I18" i="5"/>
  <c r="I21" i="5"/>
  <c r="I29" i="5" s="1"/>
  <c r="J13" i="5"/>
  <c r="I16" i="5"/>
  <c r="I31" i="5"/>
  <c r="G24" i="5"/>
  <c r="G26" i="5" s="1"/>
  <c r="G27" i="5" s="1"/>
  <c r="G32" i="5" l="1"/>
  <c r="G28" i="4"/>
  <c r="J15" i="5"/>
  <c r="J18" i="5"/>
  <c r="J21" i="5"/>
  <c r="J29" i="5" s="1"/>
  <c r="K13" i="5"/>
  <c r="J16" i="5"/>
  <c r="J31" i="5"/>
  <c r="K25" i="4"/>
  <c r="L13" i="4"/>
  <c r="L25" i="4" s="1"/>
  <c r="F36" i="5"/>
  <c r="F29" i="4"/>
  <c r="H24" i="5"/>
  <c r="H26" i="5" s="1"/>
  <c r="H27" i="5" s="1"/>
  <c r="J23" i="5"/>
  <c r="I19" i="5"/>
  <c r="I22" i="5" s="1"/>
  <c r="I27" i="4"/>
  <c r="H32" i="5" l="1"/>
  <c r="H28" i="4"/>
  <c r="K23" i="5"/>
  <c r="J19" i="5"/>
  <c r="J22" i="5" s="1"/>
  <c r="J27" i="4"/>
  <c r="L13" i="5"/>
  <c r="K16" i="5"/>
  <c r="K15" i="5"/>
  <c r="K18" i="5"/>
  <c r="K21" i="5"/>
  <c r="K29" i="5" s="1"/>
  <c r="K31" i="5"/>
  <c r="G29" i="4"/>
  <c r="G36" i="5"/>
  <c r="I24" i="5"/>
  <c r="I26" i="5" s="1"/>
  <c r="I27" i="5"/>
  <c r="I32" i="5" l="1"/>
  <c r="I28" i="4"/>
  <c r="K19" i="5"/>
  <c r="K22" i="5" s="1"/>
  <c r="K27" i="4"/>
  <c r="L21" i="5"/>
  <c r="L29" i="5" s="1"/>
  <c r="L31" i="5"/>
  <c r="L15" i="5"/>
  <c r="L16" i="5" s="1"/>
  <c r="L18" i="5"/>
  <c r="J24" i="5"/>
  <c r="J26" i="5" s="1"/>
  <c r="J27" i="5"/>
  <c r="H29" i="4"/>
  <c r="H36" i="5"/>
  <c r="L19" i="5" l="1"/>
  <c r="L22" i="5" s="1"/>
  <c r="L27" i="4"/>
  <c r="K24" i="5"/>
  <c r="K26" i="5" s="1"/>
  <c r="K27" i="5" s="1"/>
  <c r="L23" i="5"/>
  <c r="J28" i="4"/>
  <c r="J32" i="5"/>
  <c r="I36" i="5"/>
  <c r="I29" i="4"/>
  <c r="K32" i="5" l="1"/>
  <c r="K28" i="4"/>
  <c r="J36" i="5"/>
  <c r="J29" i="4"/>
  <c r="L24" i="5"/>
  <c r="L26" i="5" s="1"/>
  <c r="L27" i="5" s="1"/>
  <c r="L28" i="4" l="1"/>
  <c r="L32" i="5"/>
  <c r="K29" i="4"/>
  <c r="K36" i="5"/>
  <c r="L34" i="5" l="1"/>
  <c r="L30" i="4" s="1"/>
  <c r="L29" i="4"/>
  <c r="L36" i="5" l="1"/>
  <c r="B38" i="5" s="1"/>
  <c r="B41" i="5" l="1"/>
  <c r="C34" i="4" s="1"/>
  <c r="C32" i="4"/>
</calcChain>
</file>

<file path=xl/sharedStrings.xml><?xml version="1.0" encoding="utf-8"?>
<sst xmlns="http://schemas.openxmlformats.org/spreadsheetml/2006/main" count="46" uniqueCount="45">
  <si>
    <t>Depreciation and amortization</t>
  </si>
  <si>
    <t>Gross profit</t>
  </si>
  <si>
    <t>Selling, general and administrative expenses</t>
  </si>
  <si>
    <t>Earnings before interest, taxes, depr. &amp; amort. (EBITDA)</t>
  </si>
  <si>
    <t>Federal and State Income Taxes</t>
  </si>
  <si>
    <t>Net Operating Profit After-Tax (NOPAT)</t>
  </si>
  <si>
    <t>Free Cash Flow</t>
  </si>
  <si>
    <t>Add back depreciation and amortization</t>
  </si>
  <si>
    <t>Subtract Capital Expenditures</t>
  </si>
  <si>
    <t>Subtract New Net Working Capital</t>
  </si>
  <si>
    <t>Forecasting Variables:</t>
  </si>
  <si>
    <t>Total revenue</t>
  </si>
  <si>
    <t>Earnings before Interest and taxes (EBIT)</t>
  </si>
  <si>
    <t>Capital expenditure growth factor</t>
  </si>
  <si>
    <t>Assumed long-term sustainable growth rate</t>
  </si>
  <si>
    <t>Discount rate</t>
  </si>
  <si>
    <t>Present Value of Free Cash Flows @ 20%</t>
  </si>
  <si>
    <t>Expected gross profit margin</t>
  </si>
  <si>
    <t>S, G, &amp; A expense % of revenue</t>
  </si>
  <si>
    <t>Depr. &amp; Amort. % of revenue</t>
  </si>
  <si>
    <t>Income tax rate</t>
  </si>
  <si>
    <t>Total Present Value of Company Operations</t>
  </si>
  <si>
    <t>Net working capital to sales ratio</t>
  </si>
  <si>
    <t xml:space="preserve">Actual </t>
  </si>
  <si>
    <t>Plus Current Assets</t>
  </si>
  <si>
    <t>Cost of Goods Sold</t>
  </si>
  <si>
    <t>Years Ending December 31</t>
  </si>
  <si>
    <t>Revenue growth factor</t>
  </si>
  <si>
    <t>The Discounted Free Cash Flow Model for a Complete Business</t>
  </si>
  <si>
    <t>Available tax-loss carryforwards</t>
  </si>
  <si>
    <t>Net taxable earnings</t>
  </si>
  <si>
    <t>Total Market Value of Great Expectations' Assets</t>
  </si>
  <si>
    <t>|------------------------------------------------------------------------------------------ Forecast ----------------------------------------------------------------------------------------|</t>
  </si>
  <si>
    <t>Valuation Model Outputs:</t>
  </si>
  <si>
    <t>Net operating profit margin</t>
  </si>
  <si>
    <t>Gross profit margin</t>
  </si>
  <si>
    <t>Free cash flow ($ mil)</t>
  </si>
  <si>
    <t>Terminal value ($ mil)</t>
  </si>
  <si>
    <t>Market Value of Company Assets ($ mil)</t>
  </si>
  <si>
    <t>The Free Cash Flow Business Valuation Model</t>
  </si>
  <si>
    <t>Pie In the Sky Company</t>
  </si>
  <si>
    <t>PV of Company Operations ($ mil)</t>
  </si>
  <si>
    <t xml:space="preserve"> from Pie in the Skys' December 31, 2001 Balance Sheet</t>
  </si>
  <si>
    <t>Terminal value, 2011</t>
  </si>
  <si>
    <t>per year after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</si>
</sst>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&quot;$&quot;#,##0.0_);\(&quot;$&quot;#,##0.0\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8"/>
      <color indexed="9"/>
      <name val="Arial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37" fontId="0" fillId="0" borderId="1" xfId="0" applyNumberFormat="1" applyBorder="1"/>
    <xf numFmtId="37" fontId="2" fillId="0" borderId="0" xfId="0" applyNumberFormat="1" applyFont="1"/>
    <xf numFmtId="37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37" fontId="2" fillId="0" borderId="0" xfId="0" applyNumberFormat="1" applyFont="1" applyBorder="1"/>
    <xf numFmtId="0" fontId="2" fillId="0" borderId="0" xfId="0" quotePrefix="1" applyFont="1" applyAlignment="1">
      <alignment horizontal="left"/>
    </xf>
    <xf numFmtId="9" fontId="0" fillId="0" borderId="0" xfId="1" applyFont="1"/>
    <xf numFmtId="0" fontId="0" fillId="0" borderId="0" xfId="0" quotePrefix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37" fontId="4" fillId="0" borderId="0" xfId="0" applyNumberFormat="1" applyFont="1" applyBorder="1"/>
    <xf numFmtId="0" fontId="4" fillId="0" borderId="0" xfId="0" applyFont="1"/>
    <xf numFmtId="0" fontId="4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4" fontId="2" fillId="0" borderId="2" xfId="0" applyNumberFormat="1" applyFont="1" applyBorder="1"/>
    <xf numFmtId="37" fontId="0" fillId="0" borderId="2" xfId="0" applyNumberFormat="1" applyBorder="1"/>
    <xf numFmtId="37" fontId="2" fillId="0" borderId="2" xfId="0" applyNumberFormat="1" applyFont="1" applyBorder="1"/>
    <xf numFmtId="37" fontId="4" fillId="0" borderId="2" xfId="0" applyNumberFormat="1" applyFont="1" applyBorder="1"/>
    <xf numFmtId="0" fontId="0" fillId="2" borderId="0" xfId="0" applyFill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6" fillId="2" borderId="0" xfId="0" quotePrefix="1" applyFont="1" applyFill="1" applyAlignment="1">
      <alignment horizontal="right"/>
    </xf>
    <xf numFmtId="9" fontId="6" fillId="2" borderId="0" xfId="1" applyFont="1" applyFill="1"/>
    <xf numFmtId="9" fontId="7" fillId="2" borderId="0" xfId="1" applyFont="1" applyFill="1"/>
    <xf numFmtId="9" fontId="7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quotePrefix="1" applyFill="1" applyAlignment="1">
      <alignment horizontal="right"/>
    </xf>
    <xf numFmtId="9" fontId="0" fillId="2" borderId="0" xfId="1" applyFont="1" applyFill="1"/>
    <xf numFmtId="173" fontId="0" fillId="2" borderId="0" xfId="0" applyNumberFormat="1" applyFill="1"/>
    <xf numFmtId="173" fontId="2" fillId="2" borderId="0" xfId="0" applyNumberFormat="1" applyFont="1" applyFill="1"/>
    <xf numFmtId="173" fontId="9" fillId="3" borderId="0" xfId="0" applyNumberFormat="1" applyFont="1" applyFill="1"/>
    <xf numFmtId="0" fontId="3" fillId="2" borderId="0" xfId="0" quotePrefix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8" fillId="3" borderId="0" xfId="0" quotePrefix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38100</xdr:rowOff>
    </xdr:from>
    <xdr:to>
      <xdr:col>10</xdr:col>
      <xdr:colOff>228600</xdr:colOff>
      <xdr:row>5</xdr:row>
      <xdr:rowOff>66675</xdr:rowOff>
    </xdr:to>
    <xdr:sp macro="" textlink="" fLocksText="0">
      <xdr:nvSpPr>
        <xdr:cNvPr id="1027" name="Text 6"/>
        <xdr:cNvSpPr txBox="1">
          <a:spLocks noChangeArrowheads="1"/>
        </xdr:cNvSpPr>
      </xdr:nvSpPr>
      <xdr:spPr bwMode="auto">
        <a:xfrm>
          <a:off x="219075" y="495300"/>
          <a:ext cx="618172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  Change any of the forecasting variables shown in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red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 and observe the effect on the model's outputs in the section below.  To what variable is the business value conclusion most sensitive?  To what variable is it least sensitive?</a:t>
          </a:r>
        </a:p>
      </xdr:txBody>
    </xdr:sp>
    <xdr:clientData fLocksWithSheet="0"/>
  </xdr:twoCellAnchor>
  <xdr:twoCellAnchor>
    <xdr:from>
      <xdr:col>2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2838450" y="5514975"/>
          <a:ext cx="5810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3438525" y="6515100"/>
          <a:ext cx="78105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L1"/>
    </sheetView>
  </sheetViews>
  <sheetFormatPr baseColWidth="10" defaultColWidth="9.140625" defaultRowHeight="12.75" x14ac:dyDescent="0.2"/>
  <cols>
    <col min="1" max="1" width="37.5703125" style="27" customWidth="1"/>
    <col min="2" max="2" width="5" style="27" customWidth="1"/>
    <col min="3" max="3" width="8.7109375" style="27" customWidth="1"/>
    <col min="4" max="7" width="5.7109375" style="27" customWidth="1"/>
    <col min="8" max="11" width="6.140625" style="27" customWidth="1"/>
    <col min="12" max="12" width="8.7109375" style="27" customWidth="1"/>
    <col min="13" max="16384" width="9.140625" style="27"/>
  </cols>
  <sheetData>
    <row r="1" spans="1:12" ht="23.25" x14ac:dyDescent="0.2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8" spans="1:12" ht="15.75" x14ac:dyDescent="0.25">
      <c r="A8" s="46" t="s">
        <v>28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">
      <c r="A10" s="47" t="s">
        <v>40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x14ac:dyDescent="0.2">
      <c r="B11" s="30"/>
      <c r="C11" s="31"/>
    </row>
    <row r="12" spans="1:12" x14ac:dyDescent="0.2">
      <c r="A12" s="32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x14ac:dyDescent="0.2">
      <c r="A13" s="33"/>
      <c r="B13" s="34"/>
      <c r="C13" s="34">
        <v>2002</v>
      </c>
      <c r="D13" s="34">
        <f t="shared" ref="D13:L13" si="0">C13+1</f>
        <v>2003</v>
      </c>
      <c r="E13" s="34">
        <f t="shared" si="0"/>
        <v>2004</v>
      </c>
      <c r="F13" s="34">
        <f t="shared" si="0"/>
        <v>2005</v>
      </c>
      <c r="G13" s="34">
        <f t="shared" si="0"/>
        <v>2006</v>
      </c>
      <c r="H13" s="34">
        <f t="shared" si="0"/>
        <v>2007</v>
      </c>
      <c r="I13" s="34">
        <f t="shared" si="0"/>
        <v>2008</v>
      </c>
      <c r="J13" s="34">
        <f t="shared" si="0"/>
        <v>2009</v>
      </c>
      <c r="K13" s="34">
        <f t="shared" si="0"/>
        <v>2010</v>
      </c>
      <c r="L13" s="34">
        <f t="shared" si="0"/>
        <v>2011</v>
      </c>
    </row>
    <row r="14" spans="1:12" x14ac:dyDescent="0.2">
      <c r="A14" s="35" t="s">
        <v>27</v>
      </c>
      <c r="B14" s="36"/>
      <c r="C14" s="37">
        <v>0.2</v>
      </c>
      <c r="D14" s="37">
        <v>0.3</v>
      </c>
      <c r="E14" s="37">
        <v>0.4</v>
      </c>
      <c r="F14" s="37">
        <v>0.5</v>
      </c>
      <c r="G14" s="37">
        <v>0.6</v>
      </c>
      <c r="H14" s="37">
        <v>0.5</v>
      </c>
      <c r="I14" s="37">
        <v>0.4</v>
      </c>
      <c r="J14" s="37">
        <v>0.3</v>
      </c>
      <c r="K14" s="37">
        <v>0.2</v>
      </c>
      <c r="L14" s="37">
        <v>0.1</v>
      </c>
    </row>
    <row r="15" spans="1:12" x14ac:dyDescent="0.2">
      <c r="A15" s="35" t="s">
        <v>17</v>
      </c>
      <c r="B15" s="36"/>
      <c r="C15" s="38">
        <v>0.5</v>
      </c>
      <c r="D15" s="38">
        <v>0.51</v>
      </c>
      <c r="E15" s="38">
        <v>0.52</v>
      </c>
      <c r="F15" s="38">
        <v>0.53</v>
      </c>
      <c r="G15" s="38">
        <v>0.54</v>
      </c>
      <c r="H15" s="38">
        <v>0.55000000000000004</v>
      </c>
      <c r="I15" s="38">
        <v>0.56000000000000005</v>
      </c>
      <c r="J15" s="38">
        <v>0.56999999999999995</v>
      </c>
      <c r="K15" s="38">
        <v>0.57999999999999996</v>
      </c>
      <c r="L15" s="38">
        <v>0.59</v>
      </c>
    </row>
    <row r="16" spans="1:12" x14ac:dyDescent="0.2">
      <c r="A16" s="35" t="s">
        <v>18</v>
      </c>
      <c r="B16" s="36"/>
      <c r="C16" s="38">
        <v>0.5</v>
      </c>
      <c r="D16" s="38">
        <v>0.4</v>
      </c>
      <c r="E16" s="38">
        <v>0.3</v>
      </c>
      <c r="F16" s="38">
        <v>0.28999999999999998</v>
      </c>
      <c r="G16" s="38">
        <v>0.28000000000000003</v>
      </c>
      <c r="H16" s="38">
        <v>0.27</v>
      </c>
      <c r="I16" s="38">
        <v>0.26</v>
      </c>
      <c r="J16" s="38">
        <v>0.25</v>
      </c>
      <c r="K16" s="38">
        <v>0.24</v>
      </c>
      <c r="L16" s="38">
        <v>0.23</v>
      </c>
    </row>
    <row r="17" spans="1:12" x14ac:dyDescent="0.2">
      <c r="A17" s="35" t="s">
        <v>19</v>
      </c>
      <c r="B17" s="36"/>
      <c r="C17" s="37">
        <v>0.1</v>
      </c>
      <c r="D17" s="37">
        <v>0.1</v>
      </c>
      <c r="E17" s="37">
        <v>0.1</v>
      </c>
      <c r="F17" s="37">
        <v>0.1</v>
      </c>
      <c r="G17" s="37">
        <v>0.1</v>
      </c>
      <c r="H17" s="37">
        <v>0.1</v>
      </c>
      <c r="I17" s="37">
        <v>0.1</v>
      </c>
      <c r="J17" s="37">
        <v>0.1</v>
      </c>
      <c r="K17" s="37">
        <v>0.1</v>
      </c>
      <c r="L17" s="37">
        <v>0.1</v>
      </c>
    </row>
    <row r="18" spans="1:12" x14ac:dyDescent="0.2">
      <c r="A18" s="35" t="s">
        <v>13</v>
      </c>
      <c r="B18" s="36"/>
      <c r="C18" s="37">
        <v>0.4</v>
      </c>
      <c r="D18" s="37">
        <v>0.35</v>
      </c>
      <c r="E18" s="37">
        <v>0.3</v>
      </c>
      <c r="F18" s="37">
        <v>0.25</v>
      </c>
      <c r="G18" s="37">
        <v>0.2</v>
      </c>
      <c r="H18" s="37">
        <v>-0.1</v>
      </c>
      <c r="I18" s="37">
        <v>-0.15</v>
      </c>
      <c r="J18" s="37">
        <v>-0.2</v>
      </c>
      <c r="K18" s="37">
        <v>-0.25</v>
      </c>
      <c r="L18" s="37">
        <v>-0.3</v>
      </c>
    </row>
    <row r="19" spans="1:12" x14ac:dyDescent="0.2">
      <c r="A19" s="35" t="s">
        <v>22</v>
      </c>
      <c r="B19" s="36"/>
      <c r="C19" s="37">
        <v>0.19</v>
      </c>
      <c r="D19" s="37">
        <v>0.18</v>
      </c>
      <c r="E19" s="37">
        <v>0.17</v>
      </c>
      <c r="F19" s="37">
        <v>0.16</v>
      </c>
      <c r="G19" s="37">
        <v>0.15</v>
      </c>
      <c r="H19" s="37">
        <v>0.14000000000000001</v>
      </c>
      <c r="I19" s="37">
        <v>0.13</v>
      </c>
      <c r="J19" s="37">
        <v>0.12</v>
      </c>
      <c r="K19" s="37">
        <v>0.11</v>
      </c>
      <c r="L19" s="37">
        <v>0.1</v>
      </c>
    </row>
    <row r="20" spans="1:12" x14ac:dyDescent="0.2">
      <c r="A20" s="35"/>
      <c r="B20" s="33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2">
      <c r="A21" s="35" t="s">
        <v>20</v>
      </c>
      <c r="B21" s="37">
        <v>0.4</v>
      </c>
      <c r="C21" s="36"/>
      <c r="D21" s="36"/>
      <c r="E21" s="36"/>
      <c r="F21" s="36">
        <v>0.4</v>
      </c>
      <c r="G21" s="36"/>
      <c r="H21" s="36"/>
      <c r="I21" s="36"/>
      <c r="J21" s="36"/>
      <c r="K21" s="36"/>
      <c r="L21" s="36"/>
    </row>
    <row r="22" spans="1:12" x14ac:dyDescent="0.2">
      <c r="A22" s="35" t="s">
        <v>14</v>
      </c>
      <c r="B22" s="37">
        <v>0.05</v>
      </c>
      <c r="C22" s="39" t="s">
        <v>44</v>
      </c>
      <c r="D22" s="36"/>
      <c r="E22" s="36"/>
      <c r="F22" s="36">
        <v>0.05</v>
      </c>
      <c r="G22" s="36"/>
      <c r="H22" s="36"/>
      <c r="I22" s="36"/>
      <c r="J22" s="36"/>
      <c r="K22" s="36"/>
      <c r="L22" s="36"/>
    </row>
    <row r="23" spans="1:12" x14ac:dyDescent="0.2">
      <c r="A23" s="35" t="s">
        <v>15</v>
      </c>
      <c r="B23" s="37">
        <v>0.2</v>
      </c>
      <c r="C23" s="33"/>
      <c r="D23" s="36"/>
      <c r="E23" s="36"/>
      <c r="F23" s="36">
        <v>0.2</v>
      </c>
      <c r="G23" s="36"/>
      <c r="H23" s="36"/>
      <c r="I23" s="36"/>
      <c r="J23" s="36"/>
      <c r="K23" s="36"/>
      <c r="L23" s="36"/>
    </row>
    <row r="24" spans="1:12" x14ac:dyDescent="0.2">
      <c r="A24" s="35"/>
      <c r="B24" s="36"/>
      <c r="C24" s="33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2">
      <c r="C25" s="27">
        <f>C13</f>
        <v>2002</v>
      </c>
      <c r="D25" s="27">
        <f t="shared" ref="D25:L25" si="1">D13</f>
        <v>2003</v>
      </c>
      <c r="E25" s="27">
        <f t="shared" si="1"/>
        <v>2004</v>
      </c>
      <c r="F25" s="27">
        <f t="shared" si="1"/>
        <v>2005</v>
      </c>
      <c r="G25" s="27">
        <f t="shared" si="1"/>
        <v>2006</v>
      </c>
      <c r="H25" s="27">
        <f t="shared" si="1"/>
        <v>2007</v>
      </c>
      <c r="I25" s="27">
        <f t="shared" si="1"/>
        <v>2008</v>
      </c>
      <c r="J25" s="27">
        <f t="shared" si="1"/>
        <v>2009</v>
      </c>
      <c r="K25" s="27">
        <f t="shared" si="1"/>
        <v>2010</v>
      </c>
      <c r="L25" s="27">
        <f t="shared" si="1"/>
        <v>2011</v>
      </c>
    </row>
    <row r="26" spans="1:12" x14ac:dyDescent="0.2">
      <c r="A26" s="40" t="s">
        <v>33</v>
      </c>
    </row>
    <row r="27" spans="1:12" x14ac:dyDescent="0.2">
      <c r="A27" s="41" t="s">
        <v>35</v>
      </c>
      <c r="C27" s="42">
        <f>DCF!C16/DCF!C13</f>
        <v>0.5</v>
      </c>
      <c r="D27" s="42">
        <f>DCF!D16/DCF!D13</f>
        <v>0.51</v>
      </c>
      <c r="E27" s="42">
        <f>DCF!E16/DCF!E13</f>
        <v>0.52</v>
      </c>
      <c r="F27" s="42">
        <f>DCF!F16/DCF!F13</f>
        <v>0.53</v>
      </c>
      <c r="G27" s="42">
        <f>DCF!G16/DCF!G13</f>
        <v>0.54</v>
      </c>
      <c r="H27" s="42">
        <f>DCF!H16/DCF!H13</f>
        <v>0.55000000000000004</v>
      </c>
      <c r="I27" s="42">
        <f>DCF!I16/DCF!I13</f>
        <v>0.5599999909151695</v>
      </c>
      <c r="J27" s="42">
        <f>DCF!J16/DCF!J13</f>
        <v>0.57000001677199474</v>
      </c>
      <c r="K27" s="42">
        <f>DCF!K16/DCF!K13</f>
        <v>0.57999998672217068</v>
      </c>
      <c r="L27" s="42">
        <f>DCF!L16/DCF!L13</f>
        <v>0.5900000106730876</v>
      </c>
    </row>
    <row r="28" spans="1:12" x14ac:dyDescent="0.2">
      <c r="A28" s="41" t="s">
        <v>34</v>
      </c>
      <c r="C28" s="42">
        <f>DCF!C27/DCF!C13</f>
        <v>-0.1</v>
      </c>
      <c r="D28" s="42">
        <f>DCF!D27/DCF!D13</f>
        <v>0.01</v>
      </c>
      <c r="E28" s="42">
        <f>DCF!E27/DCF!E13</f>
        <v>0.12</v>
      </c>
      <c r="F28" s="42">
        <f>DCF!F27/DCF!F13</f>
        <v>0.10137728937728938</v>
      </c>
      <c r="G28" s="42">
        <f>DCF!G27/DCF!G13</f>
        <v>9.6000000000000002E-2</v>
      </c>
      <c r="H28" s="42">
        <f>DCF!H27/DCF!H13</f>
        <v>0.108</v>
      </c>
      <c r="I28" s="42">
        <f>DCF!I27/DCF!I13</f>
        <v>0.12</v>
      </c>
      <c r="J28" s="42">
        <f>DCF!J27/DCF!J13</f>
        <v>0.13200000167719947</v>
      </c>
      <c r="K28" s="42">
        <f>DCF!K27/DCF!K13</f>
        <v>0.14400000055906642</v>
      </c>
      <c r="L28" s="42">
        <f>DCF!L27/DCF!L13</f>
        <v>0.15600000071153913</v>
      </c>
    </row>
    <row r="29" spans="1:12" x14ac:dyDescent="0.2">
      <c r="A29" s="41" t="s">
        <v>36</v>
      </c>
      <c r="C29" s="43">
        <f>DCF!C32/1000000</f>
        <v>-1.3240000000000001</v>
      </c>
      <c r="D29" s="43">
        <f>DCF!D32/1000000</f>
        <v>-1.4172000000000002</v>
      </c>
      <c r="E29" s="43">
        <f>DCF!E32/1000000</f>
        <v>-1.2838800000000006</v>
      </c>
      <c r="F29" s="43">
        <f>DCF!F32/1000000</f>
        <v>-1.4023860000000006</v>
      </c>
      <c r="G29" s="43">
        <f>DCF!G32/1000000</f>
        <v>-1.0411128000000005</v>
      </c>
      <c r="H29" s="43">
        <f>DCF!H32/1000000</f>
        <v>0.68763239999999959</v>
      </c>
      <c r="I29" s="43">
        <f>DCF!I32/1000000</f>
        <v>2.8415205000000001</v>
      </c>
      <c r="J29" s="43">
        <f>DCF!J32/1000000</f>
        <v>5.1766439200000001</v>
      </c>
      <c r="K29" s="43">
        <f>DCF!K32/1000000</f>
        <v>7.3176592119999961</v>
      </c>
      <c r="L29" s="43">
        <f>DCF!L32/1000000</f>
        <v>8.8302569999999996</v>
      </c>
    </row>
    <row r="30" spans="1:12" x14ac:dyDescent="0.2">
      <c r="A30" s="41" t="s">
        <v>37</v>
      </c>
      <c r="L30" s="43">
        <f>DCF!L34/1000000</f>
        <v>61.811799000000001</v>
      </c>
    </row>
    <row r="31" spans="1:12" x14ac:dyDescent="0.2">
      <c r="A31" s="41"/>
      <c r="L31" s="43"/>
    </row>
    <row r="32" spans="1:12" x14ac:dyDescent="0.2">
      <c r="A32" s="30" t="s">
        <v>41</v>
      </c>
      <c r="B32" s="34"/>
      <c r="C32" s="44">
        <f>DCF!B38/1000000</f>
        <v>11.129331000000001</v>
      </c>
    </row>
    <row r="33" spans="1:3" x14ac:dyDescent="0.2">
      <c r="A33" s="30"/>
      <c r="B33" s="34"/>
      <c r="C33" s="44"/>
    </row>
    <row r="34" spans="1:3" x14ac:dyDescent="0.2">
      <c r="A34" s="30" t="s">
        <v>38</v>
      </c>
      <c r="B34" s="34"/>
      <c r="C34" s="45">
        <f>DCF!B41/1000000</f>
        <v>11.629331000000001</v>
      </c>
    </row>
  </sheetData>
  <mergeCells count="3">
    <mergeCell ref="A8:L8"/>
    <mergeCell ref="A10:L10"/>
    <mergeCell ref="A1:L1"/>
  </mergeCells>
  <phoneticPr fontId="0" type="noConversion"/>
  <pageMargins left="1.64" right="0.27" top="1.54" bottom="0.23" header="0.27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I42"/>
  <sheetViews>
    <sheetView workbookViewId="0"/>
  </sheetViews>
  <sheetFormatPr baseColWidth="10" defaultRowHeight="12.75" x14ac:dyDescent="0.2"/>
  <cols>
    <col min="1" max="1" width="51.5703125" customWidth="1"/>
    <col min="2" max="2" width="11.7109375" customWidth="1"/>
    <col min="3" max="6" width="11.28515625" customWidth="1"/>
    <col min="7" max="11" width="11.7109375" bestFit="1" customWidth="1"/>
    <col min="12" max="12" width="14.42578125" customWidth="1"/>
    <col min="13" max="256" width="9.140625" customWidth="1"/>
  </cols>
  <sheetData>
    <row r="6" spans="1:35" ht="15.75" x14ac:dyDescent="0.25">
      <c r="A6" s="51" t="s">
        <v>28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35" x14ac:dyDescent="0.2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35" x14ac:dyDescent="0.2">
      <c r="A8" s="49" t="str">
        <f>'Forecasting Variables'!A10:L10</f>
        <v>Pie In the Sky Company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35" x14ac:dyDescent="0.2">
      <c r="B9" s="49" t="s">
        <v>26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35" x14ac:dyDescent="0.2">
      <c r="B10" s="12" t="s">
        <v>23</v>
      </c>
      <c r="C10" s="49" t="s">
        <v>32</v>
      </c>
      <c r="D10" s="50"/>
      <c r="E10" s="50"/>
      <c r="F10" s="50"/>
      <c r="G10" s="50"/>
      <c r="H10" s="50"/>
      <c r="I10" s="50"/>
      <c r="J10" s="50"/>
      <c r="K10" s="50"/>
      <c r="L10" s="50"/>
    </row>
    <row r="11" spans="1:35" x14ac:dyDescent="0.2">
      <c r="B11" s="2">
        <v>2001</v>
      </c>
      <c r="C11" s="2">
        <f>B11+1</f>
        <v>2002</v>
      </c>
      <c r="D11" s="2">
        <f t="shared" ref="D11:L11" si="0">C11+1</f>
        <v>2003</v>
      </c>
      <c r="E11" s="2">
        <f t="shared" si="0"/>
        <v>2004</v>
      </c>
      <c r="F11" s="2">
        <f t="shared" si="0"/>
        <v>2005</v>
      </c>
      <c r="G11" s="2">
        <f t="shared" si="0"/>
        <v>2006</v>
      </c>
      <c r="H11" s="2">
        <f t="shared" si="0"/>
        <v>2007</v>
      </c>
      <c r="I11" s="2">
        <f t="shared" si="0"/>
        <v>2008</v>
      </c>
      <c r="J11" s="2">
        <f t="shared" si="0"/>
        <v>2009</v>
      </c>
      <c r="K11" s="2">
        <f t="shared" si="0"/>
        <v>2010</v>
      </c>
      <c r="L11" s="2">
        <f t="shared" si="0"/>
        <v>2011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3" spans="1:35" x14ac:dyDescent="0.2">
      <c r="A13" s="9" t="s">
        <v>11</v>
      </c>
      <c r="B13" s="7">
        <v>2000000</v>
      </c>
      <c r="C13" s="23">
        <f>B13*(1+'Forecasting Variables'!C14)</f>
        <v>2400000</v>
      </c>
      <c r="D13" s="23">
        <f>C13*(1+'Forecasting Variables'!D14)</f>
        <v>3120000</v>
      </c>
      <c r="E13" s="23">
        <f>D13*(1+'Forecasting Variables'!E14)</f>
        <v>4368000</v>
      </c>
      <c r="F13" s="23">
        <f>E13*(1+'Forecasting Variables'!F14)</f>
        <v>6552000</v>
      </c>
      <c r="G13" s="23">
        <f>F13*(1+'Forecasting Variables'!G14)</f>
        <v>10483200</v>
      </c>
      <c r="H13" s="23">
        <f>G13*(1+'Forecasting Variables'!H14)</f>
        <v>15724800</v>
      </c>
      <c r="I13" s="23">
        <f>H13*(1+'Forecasting Variables'!I14)</f>
        <v>22014720</v>
      </c>
      <c r="J13" s="23">
        <f>I13*(1+'Forecasting Variables'!J14)</f>
        <v>28619136</v>
      </c>
      <c r="K13" s="23">
        <f>J13*(1+'Forecasting Variables'!K14)</f>
        <v>34342963.199999996</v>
      </c>
      <c r="L13" s="23">
        <f>K13*(1+'Forecasting Variables'!L14)</f>
        <v>37777259.519999996</v>
      </c>
    </row>
    <row r="14" spans="1:35" x14ac:dyDescent="0.2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35" x14ac:dyDescent="0.2">
      <c r="A15" t="s">
        <v>25</v>
      </c>
      <c r="B15" s="3">
        <f>B13-B16</f>
        <v>1200000</v>
      </c>
      <c r="C15" s="24">
        <f>ROUND((C13*(1-'Forecasting Variables'!C15)),0)</f>
        <v>1200000</v>
      </c>
      <c r="D15" s="24">
        <f>ROUND((D13*(1-'Forecasting Variables'!D15)),0)</f>
        <v>1528800</v>
      </c>
      <c r="E15" s="24">
        <f>ROUND((E13*(1-'Forecasting Variables'!E15)),0)</f>
        <v>2096640</v>
      </c>
      <c r="F15" s="24">
        <f>ROUND((F13*(1-'Forecasting Variables'!F15)),0)</f>
        <v>3079440</v>
      </c>
      <c r="G15" s="24">
        <f>ROUND((G13*(1-'Forecasting Variables'!G15)),0)</f>
        <v>4822272</v>
      </c>
      <c r="H15" s="24">
        <f>ROUND((H13*(1-'Forecasting Variables'!H15)),0)</f>
        <v>7076160</v>
      </c>
      <c r="I15" s="24">
        <f>ROUND((I13*(1-'Forecasting Variables'!I15)),0)</f>
        <v>9686477</v>
      </c>
      <c r="J15" s="24">
        <f>ROUND((J13*(1-'Forecasting Variables'!J15)),0)</f>
        <v>12306228</v>
      </c>
      <c r="K15" s="24">
        <f>ROUND((K13*(1-'Forecasting Variables'!K15)),0)</f>
        <v>14424045</v>
      </c>
      <c r="L15" s="24">
        <f>ROUND((L13*(1-'Forecasting Variables'!L15)),0)</f>
        <v>15488676</v>
      </c>
    </row>
    <row r="16" spans="1:35" x14ac:dyDescent="0.2">
      <c r="A16" s="2" t="s">
        <v>1</v>
      </c>
      <c r="B16" s="4">
        <v>800000</v>
      </c>
      <c r="C16" s="25">
        <f t="shared" ref="C16:L16" si="1">C13-C15</f>
        <v>1200000</v>
      </c>
      <c r="D16" s="25">
        <f t="shared" si="1"/>
        <v>1591200</v>
      </c>
      <c r="E16" s="25">
        <f t="shared" si="1"/>
        <v>2271360</v>
      </c>
      <c r="F16" s="25">
        <f t="shared" si="1"/>
        <v>3472560</v>
      </c>
      <c r="G16" s="25">
        <f t="shared" si="1"/>
        <v>5660928</v>
      </c>
      <c r="H16" s="25">
        <f t="shared" si="1"/>
        <v>8648640</v>
      </c>
      <c r="I16" s="25">
        <f t="shared" si="1"/>
        <v>12328243</v>
      </c>
      <c r="J16" s="25">
        <f t="shared" si="1"/>
        <v>16312908</v>
      </c>
      <c r="K16" s="25">
        <f t="shared" si="1"/>
        <v>19918918.199999996</v>
      </c>
      <c r="L16" s="25">
        <f t="shared" si="1"/>
        <v>22288583.519999996</v>
      </c>
    </row>
    <row r="18" spans="1:23" x14ac:dyDescent="0.2">
      <c r="A18" s="1" t="s">
        <v>2</v>
      </c>
      <c r="B18" s="3">
        <v>1200000</v>
      </c>
      <c r="C18" s="24">
        <f>ROUND((C13*'Forecasting Variables'!C16),0)</f>
        <v>1200000</v>
      </c>
      <c r="D18" s="24">
        <f>ROUND((D13*'Forecasting Variables'!D16),0)</f>
        <v>1248000</v>
      </c>
      <c r="E18" s="24">
        <f>ROUND((E13*'Forecasting Variables'!E16),0)</f>
        <v>1310400</v>
      </c>
      <c r="F18" s="24">
        <f>ROUND((F13*'Forecasting Variables'!F16),0)</f>
        <v>1900080</v>
      </c>
      <c r="G18" s="24">
        <f>ROUND((G13*'Forecasting Variables'!G16),0)</f>
        <v>2935296</v>
      </c>
      <c r="H18" s="24">
        <f>ROUND((H13*'Forecasting Variables'!H16),0)</f>
        <v>4245696</v>
      </c>
      <c r="I18" s="24">
        <f>ROUND((I13*'Forecasting Variables'!I16),0)</f>
        <v>5723827</v>
      </c>
      <c r="J18" s="24">
        <f>ROUND((J13*'Forecasting Variables'!J16),0)</f>
        <v>7154784</v>
      </c>
      <c r="K18" s="24">
        <f>ROUND((K13*'Forecasting Variables'!K16),0)</f>
        <v>8242311</v>
      </c>
      <c r="L18" s="24">
        <f>ROUND((L13*'Forecasting Variables'!L16),0)</f>
        <v>8688770</v>
      </c>
    </row>
    <row r="19" spans="1:23" x14ac:dyDescent="0.2">
      <c r="A19" s="2" t="s">
        <v>3</v>
      </c>
      <c r="B19" s="4">
        <f t="shared" ref="B19:L19" si="2">B16-B18</f>
        <v>-400000</v>
      </c>
      <c r="C19" s="25">
        <f t="shared" si="2"/>
        <v>0</v>
      </c>
      <c r="D19" s="25">
        <f t="shared" si="2"/>
        <v>343200</v>
      </c>
      <c r="E19" s="25">
        <f t="shared" si="2"/>
        <v>960960</v>
      </c>
      <c r="F19" s="25">
        <f t="shared" si="2"/>
        <v>1572480</v>
      </c>
      <c r="G19" s="25">
        <f t="shared" si="2"/>
        <v>2725632</v>
      </c>
      <c r="H19" s="25">
        <f t="shared" si="2"/>
        <v>4402944</v>
      </c>
      <c r="I19" s="25">
        <f t="shared" si="2"/>
        <v>6604416</v>
      </c>
      <c r="J19" s="25">
        <f t="shared" si="2"/>
        <v>9158124</v>
      </c>
      <c r="K19" s="25">
        <f t="shared" si="2"/>
        <v>11676607.199999996</v>
      </c>
      <c r="L19" s="25">
        <f t="shared" si="2"/>
        <v>13599813.519999996</v>
      </c>
    </row>
    <row r="20" spans="1:23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23" x14ac:dyDescent="0.2">
      <c r="A21" t="s">
        <v>0</v>
      </c>
      <c r="B21" s="3">
        <v>200000</v>
      </c>
      <c r="C21" s="24">
        <f>ROUND((C13*'Forecasting Variables'!C17),0)</f>
        <v>240000</v>
      </c>
      <c r="D21" s="24">
        <f>ROUND((D13*'Forecasting Variables'!D17),0)</f>
        <v>312000</v>
      </c>
      <c r="E21" s="24">
        <f>ROUND((E13*'Forecasting Variables'!E17),0)</f>
        <v>436800</v>
      </c>
      <c r="F21" s="24">
        <f>ROUND((F13*'Forecasting Variables'!F17),0)</f>
        <v>655200</v>
      </c>
      <c r="G21" s="24">
        <f>ROUND((G13*'Forecasting Variables'!G17),0)</f>
        <v>1048320</v>
      </c>
      <c r="H21" s="24">
        <f>ROUND((H13*'Forecasting Variables'!H17),0)</f>
        <v>1572480</v>
      </c>
      <c r="I21" s="24">
        <f>ROUND((I13*'Forecasting Variables'!I17),0)</f>
        <v>2201472</v>
      </c>
      <c r="J21" s="24">
        <f>ROUND((J13*'Forecasting Variables'!J17),0)</f>
        <v>2861914</v>
      </c>
      <c r="K21" s="24">
        <f>ROUND((K13*'Forecasting Variables'!K17),0)</f>
        <v>3434296</v>
      </c>
      <c r="L21" s="24">
        <f>ROUND((L13*'Forecasting Variables'!L17),0)</f>
        <v>3777726</v>
      </c>
    </row>
    <row r="22" spans="1:23" x14ac:dyDescent="0.2">
      <c r="A22" s="15" t="s">
        <v>12</v>
      </c>
      <c r="B22" s="8">
        <f t="shared" ref="B22:L22" si="3">B19-B21</f>
        <v>-600000</v>
      </c>
      <c r="C22" s="25">
        <f t="shared" si="3"/>
        <v>-240000</v>
      </c>
      <c r="D22" s="25">
        <f t="shared" si="3"/>
        <v>31200</v>
      </c>
      <c r="E22" s="25">
        <f t="shared" si="3"/>
        <v>524160</v>
      </c>
      <c r="F22" s="25">
        <f t="shared" si="3"/>
        <v>917280</v>
      </c>
      <c r="G22" s="25">
        <f t="shared" si="3"/>
        <v>1677312</v>
      </c>
      <c r="H22" s="25">
        <f t="shared" si="3"/>
        <v>2830464</v>
      </c>
      <c r="I22" s="25">
        <f t="shared" si="3"/>
        <v>4402944</v>
      </c>
      <c r="J22" s="25">
        <f t="shared" si="3"/>
        <v>6296210</v>
      </c>
      <c r="K22" s="25">
        <f t="shared" si="3"/>
        <v>8242311.1999999955</v>
      </c>
      <c r="L22" s="25">
        <f t="shared" si="3"/>
        <v>9822087.5199999958</v>
      </c>
    </row>
    <row r="23" spans="1:23" x14ac:dyDescent="0.2">
      <c r="A23" s="21" t="s">
        <v>29</v>
      </c>
      <c r="B23" s="19">
        <v>0</v>
      </c>
      <c r="C23" s="26">
        <f>IF(B23+B22&lt;0,B23+B22,0)</f>
        <v>-600000</v>
      </c>
      <c r="D23" s="26">
        <f t="shared" ref="D23:L23" si="4">IF(C23+C22&lt;0,C23+C22,0)</f>
        <v>-840000</v>
      </c>
      <c r="E23" s="26">
        <f t="shared" si="4"/>
        <v>-808800</v>
      </c>
      <c r="F23" s="26">
        <f t="shared" si="4"/>
        <v>-284640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2">
      <c r="A24" s="21" t="s">
        <v>30</v>
      </c>
      <c r="B24" s="19">
        <f>IF(SUM(B22:B23)&lt;0,0,SUM(B22:B23))</f>
        <v>0</v>
      </c>
      <c r="C24" s="26">
        <f t="shared" ref="C24:L24" si="5">IF(SUM(C22:C23)&lt;0,0,SUM(C22:C23))</f>
        <v>0</v>
      </c>
      <c r="D24" s="26">
        <f t="shared" si="5"/>
        <v>0</v>
      </c>
      <c r="E24" s="26">
        <f t="shared" si="5"/>
        <v>0</v>
      </c>
      <c r="F24" s="26">
        <f t="shared" si="5"/>
        <v>632640</v>
      </c>
      <c r="G24" s="26">
        <f t="shared" si="5"/>
        <v>1677312</v>
      </c>
      <c r="H24" s="26">
        <f t="shared" si="5"/>
        <v>2830464</v>
      </c>
      <c r="I24" s="26">
        <f t="shared" si="5"/>
        <v>4402944</v>
      </c>
      <c r="J24" s="26">
        <f t="shared" si="5"/>
        <v>6296210</v>
      </c>
      <c r="K24" s="26">
        <f t="shared" si="5"/>
        <v>8242311.1999999955</v>
      </c>
      <c r="L24" s="26">
        <f t="shared" si="5"/>
        <v>9822087.5199999958</v>
      </c>
      <c r="O24" s="20"/>
      <c r="P24" s="20"/>
      <c r="Q24" s="20"/>
      <c r="R24" s="20"/>
      <c r="S24" s="20"/>
      <c r="T24" s="20"/>
      <c r="U24" s="20"/>
      <c r="V24" s="20"/>
      <c r="W24" s="20"/>
    </row>
    <row r="25" spans="1:23" x14ac:dyDescent="0.2">
      <c r="A25" s="21"/>
      <c r="B25" s="1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">
      <c r="A26" t="s">
        <v>4</v>
      </c>
      <c r="B26" s="3">
        <f>B24*'Forecasting Variables'!$B$21</f>
        <v>0</v>
      </c>
      <c r="C26" s="24">
        <f>C24*'Forecasting Variables'!$B$21</f>
        <v>0</v>
      </c>
      <c r="D26" s="24">
        <f>D24*'Forecasting Variables'!$B$21</f>
        <v>0</v>
      </c>
      <c r="E26" s="24">
        <f>E24*'Forecasting Variables'!$B$21</f>
        <v>0</v>
      </c>
      <c r="F26" s="24">
        <f>F24*'Forecasting Variables'!$B$21</f>
        <v>253056</v>
      </c>
      <c r="G26" s="24">
        <f>G24*'Forecasting Variables'!$B$21</f>
        <v>670924.80000000005</v>
      </c>
      <c r="H26" s="24">
        <f>H24*'Forecasting Variables'!$B$21</f>
        <v>1132185.6000000001</v>
      </c>
      <c r="I26" s="24">
        <f>I24*'Forecasting Variables'!$B$21</f>
        <v>1761177.6000000001</v>
      </c>
      <c r="J26" s="24">
        <f>J24*'Forecasting Variables'!$B$21</f>
        <v>2518484</v>
      </c>
      <c r="K26" s="24">
        <f>K24*'Forecasting Variables'!$B$21</f>
        <v>3296924.4799999986</v>
      </c>
      <c r="L26" s="24">
        <f>L24*'Forecasting Variables'!$B$21</f>
        <v>3928835.0079999985</v>
      </c>
    </row>
    <row r="27" spans="1:23" x14ac:dyDescent="0.2">
      <c r="A27" s="2" t="s">
        <v>5</v>
      </c>
      <c r="B27" s="4">
        <f t="shared" ref="B27:L27" si="6">B22-B26</f>
        <v>-600000</v>
      </c>
      <c r="C27" s="25">
        <f t="shared" si="6"/>
        <v>-240000</v>
      </c>
      <c r="D27" s="25">
        <f t="shared" si="6"/>
        <v>31200</v>
      </c>
      <c r="E27" s="25">
        <f t="shared" si="6"/>
        <v>524160</v>
      </c>
      <c r="F27" s="25">
        <f t="shared" si="6"/>
        <v>664224</v>
      </c>
      <c r="G27" s="25">
        <f t="shared" si="6"/>
        <v>1006387.2</v>
      </c>
      <c r="H27" s="25">
        <f t="shared" si="6"/>
        <v>1698278.3999999999</v>
      </c>
      <c r="I27" s="25">
        <f t="shared" si="6"/>
        <v>2641766.3999999999</v>
      </c>
      <c r="J27" s="25">
        <f t="shared" si="6"/>
        <v>3777726</v>
      </c>
      <c r="K27" s="25">
        <f t="shared" si="6"/>
        <v>4945386.7199999969</v>
      </c>
      <c r="L27" s="25">
        <f t="shared" si="6"/>
        <v>5893252.5119999973</v>
      </c>
    </row>
    <row r="29" spans="1:23" x14ac:dyDescent="0.2">
      <c r="A29" t="s">
        <v>7</v>
      </c>
      <c r="B29" s="5">
        <f t="shared" ref="B29:L29" si="7">B21</f>
        <v>200000</v>
      </c>
      <c r="C29" s="24">
        <f t="shared" si="7"/>
        <v>240000</v>
      </c>
      <c r="D29" s="24">
        <f t="shared" si="7"/>
        <v>312000</v>
      </c>
      <c r="E29" s="24">
        <f t="shared" si="7"/>
        <v>436800</v>
      </c>
      <c r="F29" s="24">
        <f t="shared" si="7"/>
        <v>655200</v>
      </c>
      <c r="G29" s="24">
        <f t="shared" si="7"/>
        <v>1048320</v>
      </c>
      <c r="H29" s="24">
        <f t="shared" si="7"/>
        <v>1572480</v>
      </c>
      <c r="I29" s="24">
        <f t="shared" si="7"/>
        <v>2201472</v>
      </c>
      <c r="J29" s="24">
        <f t="shared" si="7"/>
        <v>2861914</v>
      </c>
      <c r="K29" s="24">
        <f t="shared" si="7"/>
        <v>3434296</v>
      </c>
      <c r="L29" s="24">
        <f t="shared" si="7"/>
        <v>3777726</v>
      </c>
    </row>
    <row r="30" spans="1:23" x14ac:dyDescent="0.2">
      <c r="A30" s="1" t="s">
        <v>8</v>
      </c>
      <c r="B30" s="5">
        <v>-1000000</v>
      </c>
      <c r="C30" s="24">
        <f>B30*(1+'Forecasting Variables'!C18)</f>
        <v>-1400000</v>
      </c>
      <c r="D30" s="24">
        <f>C30*(1+'Forecasting Variables'!D18)</f>
        <v>-1890000.0000000002</v>
      </c>
      <c r="E30" s="24">
        <f>D30*(1+'Forecasting Variables'!E18)</f>
        <v>-2457000.0000000005</v>
      </c>
      <c r="F30" s="24">
        <f>E30*(1+'Forecasting Variables'!F18)</f>
        <v>-3071250.0000000005</v>
      </c>
      <c r="G30" s="24">
        <f>F30*(1+'Forecasting Variables'!G18)</f>
        <v>-3685500.0000000005</v>
      </c>
      <c r="H30" s="24">
        <f>G30*(1+'Forecasting Variables'!H18)</f>
        <v>-3316950.0000000005</v>
      </c>
      <c r="I30" s="24">
        <f>H30*(1+'Forecasting Variables'!I18)</f>
        <v>-2819407.5000000005</v>
      </c>
      <c r="J30" s="24">
        <f>I30*(1+'Forecasting Variables'!J18)</f>
        <v>-2255526.0000000005</v>
      </c>
      <c r="K30" s="24">
        <f>J30*(1+'Forecasting Variables'!K18)</f>
        <v>-1691644.5000000005</v>
      </c>
      <c r="L30" s="24">
        <f>K30*(1+'Forecasting Variables'!L18)</f>
        <v>-1184151.1500000001</v>
      </c>
    </row>
    <row r="31" spans="1:23" x14ac:dyDescent="0.2">
      <c r="A31" s="1" t="s">
        <v>9</v>
      </c>
      <c r="B31" s="3"/>
      <c r="C31" s="24">
        <f>(C13-B13)*'Forecasting Variables'!C19</f>
        <v>76000</v>
      </c>
      <c r="D31" s="24">
        <f>(D13-C13)*'Forecasting Variables'!D19</f>
        <v>129600</v>
      </c>
      <c r="E31" s="24">
        <f>(E13-D13)*'Forecasting Variables'!E19</f>
        <v>212160.00000000003</v>
      </c>
      <c r="F31" s="24">
        <f>(F13-E13)*'Forecasting Variables'!F19</f>
        <v>349440</v>
      </c>
      <c r="G31" s="24">
        <f>(G13-F13)*'Forecasting Variables'!G19</f>
        <v>589680</v>
      </c>
      <c r="H31" s="24">
        <f>(H13-G13)*'Forecasting Variables'!H19</f>
        <v>733824.00000000012</v>
      </c>
      <c r="I31" s="24">
        <f>(I13-H13)*'Forecasting Variables'!I19</f>
        <v>817689.59999999998</v>
      </c>
      <c r="J31" s="24">
        <f>(J13-I13)*'Forecasting Variables'!J19</f>
        <v>792529.91999999993</v>
      </c>
      <c r="K31" s="24">
        <f>(K13-J13)*'Forecasting Variables'!K19</f>
        <v>629620.9919999995</v>
      </c>
      <c r="L31" s="24">
        <f>(L13-K13)*'Forecasting Variables'!L19</f>
        <v>343429.63200000004</v>
      </c>
    </row>
    <row r="32" spans="1:23" x14ac:dyDescent="0.2">
      <c r="A32" s="2" t="s">
        <v>6</v>
      </c>
      <c r="B32" s="7">
        <f t="shared" ref="B32:K32" si="8">SUM(B27:B31)</f>
        <v>-1400000</v>
      </c>
      <c r="C32" s="23">
        <f t="shared" si="8"/>
        <v>-1324000</v>
      </c>
      <c r="D32" s="23">
        <f t="shared" si="8"/>
        <v>-1417200.0000000002</v>
      </c>
      <c r="E32" s="23">
        <f t="shared" si="8"/>
        <v>-1283880.0000000005</v>
      </c>
      <c r="F32" s="23">
        <f t="shared" si="8"/>
        <v>-1402386.0000000005</v>
      </c>
      <c r="G32" s="23">
        <f t="shared" si="8"/>
        <v>-1041112.8000000005</v>
      </c>
      <c r="H32" s="23">
        <f t="shared" si="8"/>
        <v>687632.39999999956</v>
      </c>
      <c r="I32" s="23">
        <f t="shared" si="8"/>
        <v>2841520.5</v>
      </c>
      <c r="J32" s="23">
        <f t="shared" si="8"/>
        <v>5176643.92</v>
      </c>
      <c r="K32" s="23">
        <f t="shared" si="8"/>
        <v>7317659.2119999966</v>
      </c>
      <c r="L32" s="23">
        <f>ROUND((SUM(L27:L31)),0)</f>
        <v>8830257</v>
      </c>
      <c r="M32" s="7"/>
    </row>
    <row r="33" spans="1:12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9" t="s">
        <v>43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23">
        <f>ROUND(((L32*(1+'Forecasting Variables'!B22))/('Forecasting Variables'!B23-'Forecasting Variables'!B22)),0)</f>
        <v>61811799</v>
      </c>
    </row>
    <row r="36" spans="1:12" x14ac:dyDescent="0.2">
      <c r="A36" s="1" t="s">
        <v>16</v>
      </c>
      <c r="C36" s="24">
        <f>ROUND((C32/((1+'Forecasting Variables'!$B$23)^(C11-2001))),0)</f>
        <v>-1103333</v>
      </c>
      <c r="D36" s="24">
        <f>ROUND((D32/((1+'Forecasting Variables'!$B$23)^(D11-2001))),0)</f>
        <v>-984167</v>
      </c>
      <c r="E36" s="24">
        <f>ROUND((E32/((1+'Forecasting Variables'!$B$23)^(E11-2001))),0)</f>
        <v>-742986</v>
      </c>
      <c r="F36" s="24">
        <f>ROUND((F32/((1+'Forecasting Variables'!$B$23)^(F11-2001))),0)</f>
        <v>-676305</v>
      </c>
      <c r="G36" s="24">
        <f>ROUND((G32/((1+'Forecasting Variables'!$B$23)^(G11-2001))),0)</f>
        <v>-418400</v>
      </c>
      <c r="H36" s="24">
        <f>ROUND((H32/((1+'Forecasting Variables'!$B$23)^(H11-2001))),0)</f>
        <v>230287</v>
      </c>
      <c r="I36" s="24">
        <f>ROUND((I32/((1+'Forecasting Variables'!$B$23)^(I11-2001))),0)</f>
        <v>793016</v>
      </c>
      <c r="J36" s="24">
        <f>ROUND((J32/((1+'Forecasting Variables'!$B$23)^(J11-2001))),0)</f>
        <v>1203922</v>
      </c>
      <c r="K36" s="24">
        <f>ROUND((K32/((1+'Forecasting Variables'!$B$23)^(K11-2001))),0)</f>
        <v>1418211</v>
      </c>
      <c r="L36" s="24">
        <f>ROUND(((L32+L34)/((1+'Forecasting Variables'!$B$23)^(L11-2001))),0)</f>
        <v>11409086</v>
      </c>
    </row>
    <row r="37" spans="1:12" x14ac:dyDescent="0.2">
      <c r="A37" s="16"/>
    </row>
    <row r="38" spans="1:12" x14ac:dyDescent="0.2">
      <c r="A38" s="9" t="s">
        <v>21</v>
      </c>
      <c r="B38" s="23">
        <f>SUM(C36:L36)</f>
        <v>11129331</v>
      </c>
    </row>
    <row r="39" spans="1:12" x14ac:dyDescent="0.2">
      <c r="A39" s="17" t="s">
        <v>24</v>
      </c>
      <c r="B39" s="24">
        <v>500000</v>
      </c>
      <c r="C39" s="22" t="s">
        <v>42</v>
      </c>
    </row>
    <row r="40" spans="1:12" x14ac:dyDescent="0.2">
      <c r="A40" s="18"/>
      <c r="C40" s="7"/>
    </row>
    <row r="41" spans="1:12" x14ac:dyDescent="0.2">
      <c r="A41" s="9" t="s">
        <v>31</v>
      </c>
      <c r="B41" s="23">
        <f>B38+SUM(B39:B39)</f>
        <v>11629331</v>
      </c>
      <c r="C41" s="7"/>
    </row>
    <row r="42" spans="1:12" x14ac:dyDescent="0.2">
      <c r="B42" s="12"/>
      <c r="C42" s="7"/>
    </row>
  </sheetData>
  <mergeCells count="4">
    <mergeCell ref="C10:L10"/>
    <mergeCell ref="A8:L8"/>
    <mergeCell ref="A6:L6"/>
    <mergeCell ref="B9:L9"/>
  </mergeCells>
  <phoneticPr fontId="0" type="noConversion"/>
  <pageMargins left="0.37" right="0.35" top="0.984251969" bottom="0.984251969" header="0.5" footer="0.5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Forecasting Variables</vt:lpstr>
      <vt:lpstr>DCF</vt:lpstr>
    </vt:vector>
  </TitlesOfParts>
  <Company>at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Andrew</dc:creator>
  <cp:lastModifiedBy>Admin</cp:lastModifiedBy>
  <cp:lastPrinted>2002-06-24T01:44:25Z</cp:lastPrinted>
  <dcterms:created xsi:type="dcterms:W3CDTF">2001-07-06T03:38:25Z</dcterms:created>
  <dcterms:modified xsi:type="dcterms:W3CDTF">2025-10-07T21:08:06Z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-2147302975</vt:i4>
  </property>
  <property fmtid="{D5CDD505-2E9C-101B-9397-08002B2CF9AE}" pid="3" name="_EmailSubject">
    <vt:lpwstr>G/A 3e CW</vt:lpwstr>
  </property>
  <property fmtid="{D5CDD505-2E9C-101B-9397-08002B2CF9AE}" pid="4" name="_AuthorEmail">
    <vt:lpwstr>Tim.Gallagher@business.colostate.edu</vt:lpwstr>
  </property>
  <property fmtid="{D5CDD505-2E9C-101B-9397-08002B2CF9AE}" pid="5" name="_AuthorEmailDisplayName">
    <vt:lpwstr>Gallagher,Tim</vt:lpwstr>
  </property>
  <property fmtid="{D5CDD505-2E9C-101B-9397-08002B2CF9AE}" pid="6" name="_ReviewingToolsShownOnce">
    <vt:lpwstr/>
  </property>
</Properties>
</file>