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8910" activeTab="1"/>
  </bookViews>
  <sheets>
    <sheet name="Import Record Details" sheetId="1" r:id="rId1"/>
    <sheet name="Import - recap" sheetId="2" r:id="rId2"/>
    <sheet name="Schedule" sheetId="4" r:id="rId3"/>
    <sheet name="RC" sheetId="5" r:id="rId4"/>
  </sheets>
  <definedNames>
    <definedName name="_xlnm._FilterDatabase" localSheetId="1" hidden="1">'Import - recap'!$A$3:$BC$5</definedName>
    <definedName name="_xlnm._FilterDatabase" localSheetId="0" hidden="1">'Import Record Details'!$A$3:$S$13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" i="2" l="1"/>
  <c r="U4" i="2"/>
  <c r="N4" i="1"/>
  <c r="AZ17" i="2" l="1"/>
  <c r="Z17" i="2"/>
  <c r="AZ16" i="2"/>
  <c r="Z16" i="2"/>
  <c r="AZ15" i="2"/>
  <c r="Z15" i="2"/>
  <c r="AZ14" i="2"/>
  <c r="Z14" i="2"/>
  <c r="AZ13" i="2"/>
  <c r="Z13" i="2"/>
  <c r="AZ12" i="2"/>
  <c r="Z12" i="2"/>
  <c r="AZ11" i="2"/>
  <c r="Z11" i="2"/>
  <c r="AZ10" i="2"/>
  <c r="Z10" i="2"/>
  <c r="AZ9" i="2"/>
  <c r="Z9" i="2"/>
  <c r="AZ8" i="2"/>
  <c r="Z8" i="2"/>
  <c r="AZ7" i="2"/>
  <c r="Z7" i="2"/>
  <c r="AZ6" i="2"/>
  <c r="Z6" i="2"/>
  <c r="AZ5" i="2"/>
  <c r="Z5" i="2"/>
  <c r="AZ4" i="2"/>
  <c r="P4" i="2"/>
  <c r="AQ17" i="2"/>
  <c r="AP17" i="2"/>
  <c r="AN17" i="2"/>
  <c r="AM17" i="2"/>
  <c r="AE17" i="2"/>
  <c r="AD17" i="2"/>
  <c r="AB17" i="2"/>
  <c r="AA17" i="2"/>
  <c r="Y17" i="2"/>
  <c r="X17" i="2"/>
  <c r="AS17" i="2" s="1"/>
  <c r="AS16" i="2"/>
  <c r="AQ16" i="2"/>
  <c r="AP16" i="2"/>
  <c r="AN16" i="2"/>
  <c r="AM16" i="2"/>
  <c r="AF16" i="2"/>
  <c r="AE16" i="2"/>
  <c r="AD16" i="2"/>
  <c r="AB16" i="2"/>
  <c r="AA16" i="2"/>
  <c r="Y16" i="2"/>
  <c r="X16" i="2"/>
  <c r="AR16" i="2" s="1"/>
  <c r="AR15" i="2"/>
  <c r="AQ15" i="2"/>
  <c r="AN15" i="2"/>
  <c r="AM15" i="2"/>
  <c r="AD15" i="2"/>
  <c r="AB15" i="2"/>
  <c r="AA15" i="2"/>
  <c r="Y15" i="2"/>
  <c r="X15" i="2"/>
  <c r="AF15" i="2" s="1"/>
  <c r="AS14" i="2"/>
  <c r="AQ14" i="2"/>
  <c r="AN14" i="2"/>
  <c r="AM14" i="2"/>
  <c r="AF14" i="2"/>
  <c r="AD14" i="2"/>
  <c r="AB14" i="2"/>
  <c r="AA14" i="2"/>
  <c r="Y14" i="2"/>
  <c r="X14" i="2"/>
  <c r="AP14" i="2" s="1"/>
  <c r="AQ13" i="2"/>
  <c r="AP13" i="2"/>
  <c r="AN13" i="2"/>
  <c r="AM13" i="2"/>
  <c r="AE13" i="2"/>
  <c r="AD13" i="2"/>
  <c r="AB13" i="2"/>
  <c r="AA13" i="2"/>
  <c r="Y13" i="2"/>
  <c r="X13" i="2"/>
  <c r="AS13" i="2" s="1"/>
  <c r="AS12" i="2"/>
  <c r="AQ12" i="2"/>
  <c r="AP12" i="2"/>
  <c r="AN12" i="2"/>
  <c r="AM12" i="2"/>
  <c r="AF12" i="2"/>
  <c r="AE12" i="2"/>
  <c r="AD12" i="2"/>
  <c r="AB12" i="2"/>
  <c r="AA12" i="2"/>
  <c r="Y12" i="2"/>
  <c r="X12" i="2"/>
  <c r="AR12" i="2" s="1"/>
  <c r="AQ11" i="2"/>
  <c r="AN11" i="2"/>
  <c r="AM11" i="2"/>
  <c r="AD11" i="2"/>
  <c r="AB11" i="2"/>
  <c r="AA11" i="2"/>
  <c r="Y11" i="2"/>
  <c r="X11" i="2"/>
  <c r="AC11" i="2" s="1"/>
  <c r="AS10" i="2"/>
  <c r="AQ10" i="2"/>
  <c r="AN10" i="2"/>
  <c r="AM10" i="2"/>
  <c r="AF10" i="2"/>
  <c r="AD10" i="2"/>
  <c r="AB10" i="2"/>
  <c r="AA10" i="2"/>
  <c r="Y10" i="2"/>
  <c r="X10" i="2"/>
  <c r="AP10" i="2" s="1"/>
  <c r="AQ9" i="2"/>
  <c r="AP9" i="2"/>
  <c r="AN9" i="2"/>
  <c r="AM9" i="2"/>
  <c r="AE9" i="2"/>
  <c r="AD9" i="2"/>
  <c r="AB9" i="2"/>
  <c r="AA9" i="2"/>
  <c r="Y9" i="2"/>
  <c r="X9" i="2"/>
  <c r="AS9" i="2" s="1"/>
  <c r="AS8" i="2"/>
  <c r="AQ8" i="2"/>
  <c r="AP8" i="2"/>
  <c r="AN8" i="2"/>
  <c r="AM8" i="2"/>
  <c r="AF8" i="2"/>
  <c r="AE8" i="2"/>
  <c r="AD8" i="2"/>
  <c r="AB8" i="2"/>
  <c r="AA8" i="2"/>
  <c r="Y8" i="2"/>
  <c r="X8" i="2"/>
  <c r="AR8" i="2" s="1"/>
  <c r="AQ7" i="2"/>
  <c r="AN7" i="2"/>
  <c r="AM7" i="2"/>
  <c r="AD7" i="2"/>
  <c r="AB7" i="2"/>
  <c r="AA7" i="2"/>
  <c r="Y7" i="2"/>
  <c r="X7" i="2"/>
  <c r="AC7" i="2" s="1"/>
  <c r="AS6" i="2"/>
  <c r="AQ6" i="2"/>
  <c r="AN6" i="2"/>
  <c r="AM6" i="2"/>
  <c r="AF6" i="2"/>
  <c r="AD6" i="2"/>
  <c r="AB6" i="2"/>
  <c r="AA6" i="2"/>
  <c r="Y6" i="2"/>
  <c r="X6" i="2"/>
  <c r="AP6" i="2" s="1"/>
  <c r="AQ5" i="2"/>
  <c r="AP5" i="2"/>
  <c r="AN5" i="2"/>
  <c r="AM5" i="2"/>
  <c r="AE5" i="2"/>
  <c r="AD5" i="2"/>
  <c r="AB5" i="2"/>
  <c r="AA5" i="2"/>
  <c r="Y5" i="2"/>
  <c r="X5" i="2"/>
  <c r="AS5" i="2" s="1"/>
  <c r="AQ4" i="2"/>
  <c r="AN4" i="2"/>
  <c r="AD4" i="2"/>
  <c r="AA4" i="2"/>
  <c r="J4" i="2"/>
  <c r="J6" i="2"/>
  <c r="U6" i="2"/>
  <c r="V6" i="2"/>
  <c r="AX6" i="2"/>
  <c r="AY6" i="2"/>
  <c r="BA6" i="2" s="1"/>
  <c r="J7" i="2"/>
  <c r="U7" i="2"/>
  <c r="V7" i="2"/>
  <c r="AX7" i="2"/>
  <c r="AY7" i="2"/>
  <c r="BA7" i="2" s="1"/>
  <c r="J8" i="2"/>
  <c r="U8" i="2"/>
  <c r="V8" i="2"/>
  <c r="AX8" i="2"/>
  <c r="AY8" i="2"/>
  <c r="J9" i="2"/>
  <c r="U9" i="2"/>
  <c r="V9" i="2"/>
  <c r="AX9" i="2"/>
  <c r="AY9" i="2"/>
  <c r="BA9" i="2" s="1"/>
  <c r="J10" i="2"/>
  <c r="U10" i="2"/>
  <c r="V10" i="2"/>
  <c r="AX10" i="2"/>
  <c r="AY10" i="2"/>
  <c r="BA10" i="2" s="1"/>
  <c r="J11" i="2"/>
  <c r="U11" i="2"/>
  <c r="V11" i="2"/>
  <c r="AX11" i="2"/>
  <c r="AY11" i="2"/>
  <c r="BA11" i="2" s="1"/>
  <c r="J12" i="2"/>
  <c r="U12" i="2"/>
  <c r="V12" i="2"/>
  <c r="AX12" i="2"/>
  <c r="AY12" i="2"/>
  <c r="J13" i="2"/>
  <c r="U13" i="2"/>
  <c r="V13" i="2"/>
  <c r="AX13" i="2"/>
  <c r="AY13" i="2"/>
  <c r="BA13" i="2" s="1"/>
  <c r="J14" i="2"/>
  <c r="U14" i="2"/>
  <c r="V14" i="2"/>
  <c r="AX14" i="2"/>
  <c r="AY14" i="2"/>
  <c r="BA14" i="2" s="1"/>
  <c r="J15" i="2"/>
  <c r="U15" i="2"/>
  <c r="V15" i="2"/>
  <c r="AX15" i="2"/>
  <c r="AY15" i="2"/>
  <c r="BA15" i="2" s="1"/>
  <c r="J16" i="2"/>
  <c r="U16" i="2"/>
  <c r="V16" i="2"/>
  <c r="AX16" i="2"/>
  <c r="AY16" i="2"/>
  <c r="J17" i="2"/>
  <c r="U17" i="2"/>
  <c r="V17" i="2"/>
  <c r="AX17" i="2"/>
  <c r="AY17" i="2"/>
  <c r="BA17" i="2" s="1"/>
  <c r="Z4" i="2" l="1"/>
  <c r="Y4" i="2"/>
  <c r="AJ12" i="2"/>
  <c r="AK12" i="2" s="1"/>
  <c r="AU8" i="2"/>
  <c r="AU12" i="2"/>
  <c r="AU16" i="2"/>
  <c r="AC15" i="2"/>
  <c r="AF5" i="2"/>
  <c r="AC6" i="2"/>
  <c r="AJ6" i="2" s="1"/>
  <c r="AK6" i="2" s="1"/>
  <c r="AR6" i="2"/>
  <c r="AU6" i="2" s="1"/>
  <c r="AS7" i="2"/>
  <c r="AF9" i="2"/>
  <c r="AC10" i="2"/>
  <c r="AI10" i="2" s="1"/>
  <c r="AR10" i="2"/>
  <c r="AU10" i="2" s="1"/>
  <c r="AS11" i="2"/>
  <c r="AF13" i="2"/>
  <c r="AC14" i="2"/>
  <c r="AJ14" i="2" s="1"/>
  <c r="AK14" i="2" s="1"/>
  <c r="AI14" i="2"/>
  <c r="AR14" i="2"/>
  <c r="AU14" i="2" s="1"/>
  <c r="AS15" i="2"/>
  <c r="AF17" i="2"/>
  <c r="AR7" i="2"/>
  <c r="AR11" i="2"/>
  <c r="AJ16" i="2"/>
  <c r="AK16" i="2" s="1"/>
  <c r="AC5" i="2"/>
  <c r="AI5" i="2" s="1"/>
  <c r="AP7" i="2"/>
  <c r="AU7" i="2" s="1"/>
  <c r="AP11" i="2"/>
  <c r="AU11" i="2" s="1"/>
  <c r="AC13" i="2"/>
  <c r="AI13" i="2" s="1"/>
  <c r="AR13" i="2"/>
  <c r="AU13" i="2" s="1"/>
  <c r="AE15" i="2"/>
  <c r="AJ15" i="2" s="1"/>
  <c r="AK15" i="2" s="1"/>
  <c r="AP15" i="2"/>
  <c r="AU15" i="2" s="1"/>
  <c r="AC17" i="2"/>
  <c r="AI17" i="2" s="1"/>
  <c r="AR17" i="2"/>
  <c r="AU17" i="2" s="1"/>
  <c r="AR5" i="2"/>
  <c r="AU5" i="2" s="1"/>
  <c r="AE7" i="2"/>
  <c r="AJ7" i="2" s="1"/>
  <c r="AK7" i="2" s="1"/>
  <c r="AC9" i="2"/>
  <c r="AI9" i="2" s="1"/>
  <c r="AR9" i="2"/>
  <c r="AU9" i="2" s="1"/>
  <c r="AE11" i="2"/>
  <c r="AI11" i="2" s="1"/>
  <c r="AJ5" i="2"/>
  <c r="AK5" i="2" s="1"/>
  <c r="AE6" i="2"/>
  <c r="AI6" i="2" s="1"/>
  <c r="AF7" i="2"/>
  <c r="AC8" i="2"/>
  <c r="AJ8" i="2" s="1"/>
  <c r="AK8" i="2" s="1"/>
  <c r="AE10" i="2"/>
  <c r="AJ10" i="2" s="1"/>
  <c r="AK10" i="2" s="1"/>
  <c r="AF11" i="2"/>
  <c r="AJ11" i="2" s="1"/>
  <c r="AK11" i="2" s="1"/>
  <c r="AC12" i="2"/>
  <c r="AI12" i="2"/>
  <c r="AJ13" i="2"/>
  <c r="AK13" i="2" s="1"/>
  <c r="AE14" i="2"/>
  <c r="AG14" i="2" s="1"/>
  <c r="AH14" i="2" s="1"/>
  <c r="AC16" i="2"/>
  <c r="AI16" i="2" s="1"/>
  <c r="AV11" i="2"/>
  <c r="AW11" i="2" s="1"/>
  <c r="AV13" i="2"/>
  <c r="AW13" i="2" s="1"/>
  <c r="AV7" i="2"/>
  <c r="AW7" i="2" s="1"/>
  <c r="AM4" i="2"/>
  <c r="AV17" i="2"/>
  <c r="AW17" i="2" s="1"/>
  <c r="AV15" i="2"/>
  <c r="AW15" i="2" s="1"/>
  <c r="AV9" i="2"/>
  <c r="AW9" i="2" s="1"/>
  <c r="AV14" i="2"/>
  <c r="AW14" i="2" s="1"/>
  <c r="AV10" i="2"/>
  <c r="AW10" i="2" s="1"/>
  <c r="AV8" i="2"/>
  <c r="AW8" i="2" s="1"/>
  <c r="BB14" i="2"/>
  <c r="BB10" i="2"/>
  <c r="BB6" i="2"/>
  <c r="AV16" i="2"/>
  <c r="AW16" i="2" s="1"/>
  <c r="AV12" i="2"/>
  <c r="AV6" i="2"/>
  <c r="AW6" i="2" s="1"/>
  <c r="BB13" i="2"/>
  <c r="BB15" i="2"/>
  <c r="BB9" i="2"/>
  <c r="BB7" i="2"/>
  <c r="BB17" i="2"/>
  <c r="BB11" i="2"/>
  <c r="BB16" i="2"/>
  <c r="BB12" i="2"/>
  <c r="BB8" i="2"/>
  <c r="BA16" i="2"/>
  <c r="BA12" i="2"/>
  <c r="BA8" i="2"/>
  <c r="AG17" i="2" l="1"/>
  <c r="AH17" i="2" s="1"/>
  <c r="AG6" i="2"/>
  <c r="AH6" i="2" s="1"/>
  <c r="AG11" i="2"/>
  <c r="AH11" i="2" s="1"/>
  <c r="AG15" i="2"/>
  <c r="AH15" i="2" s="1"/>
  <c r="AG7" i="2"/>
  <c r="AH7" i="2" s="1"/>
  <c r="AJ17" i="2"/>
  <c r="AK17" i="2" s="1"/>
  <c r="AJ9" i="2"/>
  <c r="AK9" i="2" s="1"/>
  <c r="AI7" i="2"/>
  <c r="AI8" i="2"/>
  <c r="AG9" i="2"/>
  <c r="AH9" i="2" s="1"/>
  <c r="AG13" i="2"/>
  <c r="AH13" i="2" s="1"/>
  <c r="AI15" i="2"/>
  <c r="AG12" i="2"/>
  <c r="AH12" i="2" s="1"/>
  <c r="AG8" i="2"/>
  <c r="AH8" i="2" s="1"/>
  <c r="AG10" i="2"/>
  <c r="AH10" i="2" s="1"/>
  <c r="AG16" i="2"/>
  <c r="AH16" i="2" s="1"/>
  <c r="BC15" i="2"/>
  <c r="BC16" i="2"/>
  <c r="AW12" i="2"/>
  <c r="AL7" i="2"/>
  <c r="BC13" i="2"/>
  <c r="AL8" i="2"/>
  <c r="BC8" i="2"/>
  <c r="AL6" i="2"/>
  <c r="BC6" i="2"/>
  <c r="AL16" i="2"/>
  <c r="AL11" i="2"/>
  <c r="AL15" i="2"/>
  <c r="AL13" i="2"/>
  <c r="BC11" i="2"/>
  <c r="BC7" i="2"/>
  <c r="AL17" i="2" l="1"/>
  <c r="BC17" i="2"/>
  <c r="BC9" i="2"/>
  <c r="AL9" i="2"/>
  <c r="AL14" i="2"/>
  <c r="BC14" i="2"/>
  <c r="AL12" i="2"/>
  <c r="BC12" i="2"/>
  <c r="AL10" i="2"/>
  <c r="BC10" i="2"/>
  <c r="AX4" i="2"/>
  <c r="AX5" i="2"/>
  <c r="W4" i="2" l="1"/>
  <c r="X4" i="2" l="1"/>
  <c r="J5" i="2"/>
  <c r="AP4" i="2" l="1"/>
  <c r="AF4" i="2"/>
  <c r="AS4" i="2"/>
  <c r="AC4" i="2"/>
  <c r="AR4" i="2"/>
  <c r="AE4" i="2"/>
  <c r="AG5" i="2"/>
  <c r="AH5" i="2" s="1"/>
  <c r="BB4" i="2"/>
  <c r="B3" i="5" s="1"/>
  <c r="BB5" i="2"/>
  <c r="AZ1" i="2"/>
  <c r="Z1" i="2"/>
  <c r="AJ4" i="2" l="1"/>
  <c r="AJ1" i="2" s="1"/>
  <c r="AG4" i="2"/>
  <c r="AH4" i="2" s="1"/>
  <c r="AU4" i="2"/>
  <c r="AI4" i="2"/>
  <c r="B5" i="5"/>
  <c r="AL5" i="2"/>
  <c r="B4" i="5"/>
  <c r="BB1" i="2"/>
  <c r="B2" i="5"/>
  <c r="C2" i="5" s="1"/>
  <c r="Y1" i="2"/>
  <c r="AK4" i="2" l="1"/>
  <c r="AL4" i="2"/>
  <c r="C3" i="5" l="1"/>
  <c r="C4" i="5"/>
  <c r="C5" i="5"/>
  <c r="AY5" i="2" l="1"/>
  <c r="BA5" i="2" l="1"/>
  <c r="AV5" i="2"/>
  <c r="AW5" i="2" s="1"/>
  <c r="U5" i="2" l="1"/>
  <c r="L4" i="1"/>
  <c r="O4" i="1" s="1"/>
  <c r="Q4" i="1" s="1"/>
  <c r="AY4" i="2" l="1"/>
  <c r="BA4" i="2" l="1"/>
  <c r="BC4" i="2"/>
  <c r="AV4" i="2"/>
  <c r="AW4" i="2" s="1"/>
  <c r="S5" i="1"/>
  <c r="AV1" i="2" l="1"/>
  <c r="V5" i="2" l="1"/>
  <c r="BC5" i="2" l="1"/>
  <c r="W1" i="2" l="1"/>
  <c r="X1" i="2" l="1"/>
  <c r="AL1" i="2" s="1"/>
</calcChain>
</file>

<file path=xl/sharedStrings.xml><?xml version="1.0" encoding="utf-8"?>
<sst xmlns="http://schemas.openxmlformats.org/spreadsheetml/2006/main" count="149" uniqueCount="110">
  <si>
    <t>USD</t>
  </si>
  <si>
    <t>Port</t>
  </si>
  <si>
    <t>MEDUIF315911</t>
  </si>
  <si>
    <t>PAR OPERATION</t>
  </si>
  <si>
    <t xml:space="preserve"> 3-7</t>
  </si>
  <si>
    <t xml:space="preserve"> 8-15</t>
  </si>
  <si>
    <t xml:space="preserve"> 1-5</t>
  </si>
  <si>
    <t xml:space="preserve"> 6-10</t>
  </si>
  <si>
    <t xml:space="preserve"> 11-15</t>
  </si>
  <si>
    <t xml:space="preserve"> 16-45</t>
  </si>
  <si>
    <t xml:space="preserve"> 13-21 </t>
  </si>
  <si>
    <t>&gt;22</t>
  </si>
  <si>
    <t>STAM estimé</t>
  </si>
  <si>
    <t>%</t>
  </si>
  <si>
    <t>CFR</t>
  </si>
  <si>
    <t>RPD</t>
  </si>
  <si>
    <t>Coeff</t>
  </si>
  <si>
    <t>Import file reference</t>
  </si>
  <si>
    <t>Supplier</t>
  </si>
  <si>
    <t>Country of origin</t>
  </si>
  <si>
    <t>Invoice date</t>
  </si>
  <si>
    <t>Invoice No.</t>
  </si>
  <si>
    <t>Allocation</t>
  </si>
  <si>
    <t>Type of raw material</t>
  </si>
  <si>
    <t>Unit</t>
  </si>
  <si>
    <t>Quantity</t>
  </si>
  <si>
    <t>Currency</t>
  </si>
  <si>
    <t>Unit price</t>
  </si>
  <si>
    <t>Total invoice amount</t>
  </si>
  <si>
    <t>Exchange rate</t>
  </si>
  <si>
    <t>Unit price ( $)</t>
  </si>
  <si>
    <t>Invoice amount before tax</t>
  </si>
  <si>
    <t>VAT</t>
  </si>
  <si>
    <t>Total cost including tax</t>
  </si>
  <si>
    <t>Number of containers</t>
  </si>
  <si>
    <t>Remarks</t>
  </si>
  <si>
    <t>Import Record Details</t>
  </si>
  <si>
    <t>Import Recap</t>
  </si>
  <si>
    <t>Import File Reference</t>
  </si>
  <si>
    <t>Shipping Company</t>
  </si>
  <si>
    <t>Bill of Lading No.</t>
  </si>
  <si>
    <t>Number of Containers</t>
  </si>
  <si>
    <t>20/40 ft Container Type</t>
  </si>
  <si>
    <t>Incoterm</t>
  </si>
  <si>
    <t>Import Status</t>
  </si>
  <si>
    <t>Loading Date</t>
  </si>
  <si>
    <t>Arrival Notice</t>
  </si>
  <si>
    <t>Number of Delay Days</t>
  </si>
  <si>
    <t>Freight</t>
  </si>
  <si>
    <t>Customs Clearance Date</t>
  </si>
  <si>
    <t>Customs Declaration No.</t>
  </si>
  <si>
    <t>Factory Reception Date</t>
  </si>
  <si>
    <t>Month</t>
  </si>
  <si>
    <t>Supplier Furnace</t>
  </si>
  <si>
    <t>Country of Origin</t>
  </si>
  <si>
    <t>Raw Material</t>
  </si>
  <si>
    <t>Declared Exchange Rate</t>
  </si>
  <si>
    <t>Unit Price</t>
  </si>
  <si>
    <t>Amount (in foreign currency)</t>
  </si>
  <si>
    <t>Amount in $</t>
  </si>
  <si>
    <t>Estimated Storage Fees</t>
  </si>
  <si>
    <t>Estimated Demurrage</t>
  </si>
  <si>
    <t>Customs Duty</t>
  </si>
  <si>
    <t>Sanitary Inspection</t>
  </si>
  <si>
    <t>Land Transport</t>
  </si>
  <si>
    <t>Forwarding</t>
  </si>
  <si>
    <t>Insurance</t>
  </si>
  <si>
    <t>Cost Excl. Tax without demurrage</t>
  </si>
  <si>
    <t>Unit Cost Excl. Tax per Ton (without demurrage)</t>
  </si>
  <si>
    <t>Coefficient without demurrage</t>
  </si>
  <si>
    <t>Cost Excl. Tax with demurrage</t>
  </si>
  <si>
    <t>Unit Cost per Ton (with demurrage)</t>
  </si>
  <si>
    <t>Demurrage Percentage</t>
  </si>
  <si>
    <t>Cost Excluding Tax without Demurrage</t>
  </si>
  <si>
    <t>Unit Cost Excluding Tax per Ton (without Demurrage)</t>
  </si>
  <si>
    <t>Coefficient without Demurrage</t>
  </si>
  <si>
    <t>Cost Excluding Tax with Demurrage</t>
  </si>
  <si>
    <t>Demurrage</t>
  </si>
  <si>
    <t>Unit Cost per Ton (with Demurrage)</t>
  </si>
  <si>
    <t>Total Demurrage</t>
  </si>
  <si>
    <t>Estimated Exchange Rate</t>
  </si>
  <si>
    <t>Forecast Purchase Cost</t>
  </si>
  <si>
    <t>Analytical Purchase Cost</t>
  </si>
  <si>
    <t>Accounting Purchase Cost</t>
  </si>
  <si>
    <t>Arrived at Port</t>
  </si>
  <si>
    <t>Paid, Not Yet Arrived at Factory</t>
  </si>
  <si>
    <t>In Transit</t>
  </si>
  <si>
    <t>Company 1</t>
  </si>
  <si>
    <t>Company 2</t>
  </si>
  <si>
    <t>Company</t>
  </si>
  <si>
    <t>Imp 2025/01</t>
  </si>
  <si>
    <t>Nike</t>
  </si>
  <si>
    <t>CHINE</t>
  </si>
  <si>
    <t>PF</t>
  </si>
  <si>
    <t>UU</t>
  </si>
  <si>
    <t>P</t>
  </si>
  <si>
    <t>Chicago</t>
  </si>
  <si>
    <t>xxxxxx</t>
  </si>
  <si>
    <t>Ireland</t>
  </si>
  <si>
    <t>DISEMBARKATION</t>
  </si>
  <si>
    <t>GARDENING</t>
  </si>
  <si>
    <t>PARKING</t>
  </si>
  <si>
    <t>Shopping</t>
  </si>
  <si>
    <t>Number of days late</t>
  </si>
  <si>
    <t xml:space="preserve"> &gt;16 Days</t>
  </si>
  <si>
    <t xml:space="preserve"> &gt;45 Days</t>
  </si>
  <si>
    <t>Period</t>
  </si>
  <si>
    <t>Insurance Co.</t>
  </si>
  <si>
    <t>Insurance Cost</t>
  </si>
  <si>
    <t>Arrived at Factory, Not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</si>
</sst>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"/>
    <numFmt numFmtId="165" formatCode="#,##0.00000"/>
    <numFmt numFmtId="166" formatCode="#,##0.0000"/>
    <numFmt numFmtId="167" formatCode="0.0000"/>
    <numFmt numFmtId="168" formatCode="0.0%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FF0000"/>
      <name val="Times New Roman"/>
      <family val="1"/>
    </font>
    <font>
      <b/>
      <u/>
      <sz val="28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u/>
      <sz val="20"/>
      <color rgb="FFFF0000"/>
      <name val="Times New Roman"/>
      <family val="1"/>
    </font>
    <font>
      <sz val="1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8"/>
      <color theme="0"/>
      <name val="Times New Roman"/>
      <family val="1"/>
    </font>
    <font>
      <b/>
      <sz val="13"/>
      <color theme="0"/>
      <name val="Times New Roman"/>
      <family val="1"/>
    </font>
    <font>
      <b/>
      <sz val="14"/>
      <color rgb="FFFF0000"/>
      <name val="Times New Roman"/>
      <family val="1"/>
    </font>
    <font>
      <b/>
      <sz val="18"/>
      <color rgb="FF0070C0"/>
      <name val="Times New Roman"/>
      <family val="1"/>
    </font>
    <font>
      <b/>
      <sz val="14"/>
      <color rgb="FF0070C0"/>
      <name val="Times New Roman"/>
      <family val="1"/>
    </font>
    <font>
      <b/>
      <sz val="22"/>
      <color rgb="FF0070C0"/>
      <name val="Times New Roman"/>
      <family val="1"/>
    </font>
    <font>
      <sz val="14"/>
      <color theme="1"/>
      <name val="Times New Roman"/>
      <family val="1"/>
    </font>
    <font>
      <b/>
      <u/>
      <sz val="24"/>
      <color rgb="FF7030A0"/>
      <name val="Times New Roman"/>
      <family val="1"/>
    </font>
    <font>
      <sz val="11"/>
      <color rgb="FF0F1115"/>
      <name val="Segoe UI"/>
      <family val="2"/>
    </font>
    <font>
      <b/>
      <sz val="24"/>
      <color rgb="FF7030A0"/>
      <name val="Segoe UI"/>
      <family val="2"/>
    </font>
    <font>
      <b/>
      <u/>
      <sz val="28"/>
      <color rgb="FFFF0000"/>
      <name val="Segoe UI"/>
      <family val="2"/>
    </font>
    <font>
      <sz val="11"/>
      <color theme="1"/>
      <name val="Segoe UI"/>
      <family val="2"/>
    </font>
    <font>
      <b/>
      <sz val="22"/>
      <color rgb="FFFF0000"/>
      <name val="Segoe UI"/>
      <family val="2"/>
    </font>
    <font>
      <b/>
      <sz val="11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7C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6" fillId="11" borderId="1" xfId="0" applyNumberFormat="1" applyFont="1" applyFill="1" applyBorder="1" applyAlignment="1">
      <alignment vertical="center"/>
    </xf>
    <xf numFmtId="3" fontId="4" fillId="12" borderId="1" xfId="0" applyNumberFormat="1" applyFont="1" applyFill="1" applyBorder="1" applyAlignment="1">
      <alignment vertical="center"/>
    </xf>
    <xf numFmtId="3" fontId="6" fillId="12" borderId="1" xfId="0" applyNumberFormat="1" applyFont="1" applyFill="1" applyBorder="1" applyAlignment="1">
      <alignment vertical="center"/>
    </xf>
    <xf numFmtId="166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3" fontId="11" fillId="4" borderId="0" xfId="0" applyNumberFormat="1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5" fillId="14" borderId="1" xfId="0" applyFont="1" applyFill="1" applyBorder="1" applyAlignment="1">
      <alignment horizontal="center" vertical="center" wrapText="1"/>
    </xf>
    <xf numFmtId="3" fontId="6" fillId="14" borderId="1" xfId="0" applyNumberFormat="1" applyFont="1" applyFill="1" applyBorder="1" applyAlignment="1">
      <alignment horizontal="right" vertical="center" wrapText="1"/>
    </xf>
    <xf numFmtId="0" fontId="5" fillId="16" borderId="1" xfId="0" applyFont="1" applyFill="1" applyBorder="1" applyAlignment="1">
      <alignment horizontal="left" vertical="center" wrapText="1"/>
    </xf>
    <xf numFmtId="0" fontId="15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left" vertical="center" wrapText="1"/>
    </xf>
    <xf numFmtId="3" fontId="11" fillId="4" borderId="0" xfId="0" applyNumberFormat="1" applyFont="1" applyFill="1" applyAlignment="1">
      <alignment horizontal="center" vertical="center"/>
    </xf>
    <xf numFmtId="0" fontId="5" fillId="18" borderId="1" xfId="0" applyFont="1" applyFill="1" applyBorder="1" applyAlignment="1">
      <alignment horizontal="center" vertical="center" wrapText="1"/>
    </xf>
    <xf numFmtId="3" fontId="16" fillId="10" borderId="1" xfId="0" applyNumberFormat="1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16" fontId="0" fillId="0" borderId="1" xfId="0" applyNumberForma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7" fillId="9" borderId="1" xfId="0" applyFont="1" applyFill="1" applyBorder="1" applyAlignment="1">
      <alignment horizontal="center" vertical="center" wrapText="1"/>
    </xf>
    <xf numFmtId="3" fontId="16" fillId="9" borderId="1" xfId="0" applyNumberFormat="1" applyFont="1" applyFill="1" applyBorder="1" applyAlignment="1">
      <alignment horizontal="center" vertical="center" wrapText="1"/>
    </xf>
    <xf numFmtId="0" fontId="18" fillId="19" borderId="0" xfId="0" applyFont="1" applyFill="1" applyAlignment="1">
      <alignment horizontal="left" vertical="center"/>
    </xf>
    <xf numFmtId="167" fontId="18" fillId="19" borderId="0" xfId="0" applyNumberFormat="1" applyFont="1" applyFill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168" fontId="19" fillId="0" borderId="1" xfId="1" applyNumberFormat="1" applyFont="1" applyFill="1" applyBorder="1" applyAlignment="1">
      <alignment horizontal="center" vertical="center" wrapText="1"/>
    </xf>
    <xf numFmtId="168" fontId="2" fillId="0" borderId="1" xfId="1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8" fontId="21" fillId="0" borderId="1" xfId="1" applyNumberFormat="1" applyFont="1" applyFill="1" applyBorder="1" applyAlignment="1">
      <alignment horizontal="center" vertical="center" wrapText="1"/>
    </xf>
    <xf numFmtId="168" fontId="22" fillId="0" borderId="1" xfId="1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8" fillId="8" borderId="1" xfId="0" applyFont="1" applyFill="1" applyBorder="1" applyAlignment="1">
      <alignment horizontal="left" vertical="center"/>
    </xf>
    <xf numFmtId="3" fontId="23" fillId="0" borderId="1" xfId="0" applyNumberFormat="1" applyFont="1" applyBorder="1" applyAlignment="1">
      <alignment vertical="center"/>
    </xf>
    <xf numFmtId="9" fontId="19" fillId="0" borderId="1" xfId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16" fillId="19" borderId="1" xfId="0" applyNumberFormat="1" applyFont="1" applyFill="1" applyBorder="1" applyAlignment="1">
      <alignment horizontal="center" vertical="center" wrapText="1"/>
    </xf>
    <xf numFmtId="16" fontId="10" fillId="0" borderId="0" xfId="0" applyNumberFormat="1" applyFont="1" applyAlignment="1">
      <alignment vertical="center"/>
    </xf>
    <xf numFmtId="16" fontId="4" fillId="0" borderId="0" xfId="0" applyNumberFormat="1" applyFont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3" fontId="16" fillId="10" borderId="0" xfId="0" applyNumberFormat="1" applyFont="1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0" fontId="7" fillId="14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3" fontId="10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4" fontId="6" fillId="11" borderId="1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>
      <alignment horizontal="right" vertical="center" wrapText="1"/>
    </xf>
    <xf numFmtId="168" fontId="2" fillId="0" borderId="0" xfId="1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8" fillId="20" borderId="2" xfId="0" applyFont="1" applyFill="1" applyBorder="1" applyAlignment="1">
      <alignment horizontal="center" vertical="center"/>
    </xf>
    <xf numFmtId="0" fontId="8" fillId="20" borderId="3" xfId="0" applyFont="1" applyFill="1" applyBorder="1" applyAlignment="1">
      <alignment horizontal="center" vertical="center"/>
    </xf>
    <xf numFmtId="0" fontId="8" fillId="20" borderId="4" xfId="0" applyFont="1" applyFill="1" applyBorder="1" applyAlignment="1">
      <alignment horizontal="center" vertical="center"/>
    </xf>
    <xf numFmtId="0" fontId="8" fillId="17" borderId="2" xfId="0" applyFont="1" applyFill="1" applyBorder="1" applyAlignment="1">
      <alignment horizontal="center" vertical="center"/>
    </xf>
    <xf numFmtId="0" fontId="8" fillId="17" borderId="3" xfId="0" applyFont="1" applyFill="1" applyBorder="1" applyAlignment="1">
      <alignment horizontal="center" vertical="center"/>
    </xf>
    <xf numFmtId="0" fontId="8" fillId="17" borderId="4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8" fillId="21" borderId="2" xfId="0" applyFont="1" applyFill="1" applyBorder="1" applyAlignment="1">
      <alignment horizontal="center" vertical="center"/>
    </xf>
    <xf numFmtId="0" fontId="8" fillId="21" borderId="3" xfId="0" applyFont="1" applyFill="1" applyBorder="1" applyAlignment="1">
      <alignment horizontal="center" vertical="center"/>
    </xf>
    <xf numFmtId="0" fontId="25" fillId="23" borderId="1" xfId="0" applyFont="1" applyFill="1" applyBorder="1" applyAlignment="1">
      <alignment horizontal="left" vertical="center" wrapText="1" indent="1"/>
    </xf>
    <xf numFmtId="0" fontId="26" fillId="0" borderId="0" xfId="0" applyFont="1"/>
    <xf numFmtId="0" fontId="27" fillId="0" borderId="0" xfId="0" applyFont="1" applyAlignment="1">
      <alignment vertical="top"/>
    </xf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center"/>
    </xf>
    <xf numFmtId="4" fontId="28" fillId="0" borderId="0" xfId="0" applyNumberFormat="1" applyFont="1"/>
    <xf numFmtId="164" fontId="28" fillId="0" borderId="0" xfId="0" applyNumberFormat="1" applyFont="1"/>
    <xf numFmtId="0" fontId="30" fillId="0" borderId="0" xfId="0" applyFont="1" applyAlignment="1">
      <alignment horizontal="center"/>
    </xf>
    <xf numFmtId="3" fontId="28" fillId="0" borderId="0" xfId="0" applyNumberFormat="1" applyFont="1"/>
    <xf numFmtId="0" fontId="31" fillId="22" borderId="1" xfId="0" applyFont="1" applyFill="1" applyBorder="1" applyAlignment="1">
      <alignment horizontal="center" vertical="center" wrapText="1"/>
    </xf>
    <xf numFmtId="4" fontId="31" fillId="22" borderId="1" xfId="0" applyNumberFormat="1" applyFont="1" applyFill="1" applyBorder="1" applyAlignment="1">
      <alignment horizontal="center" vertical="center" wrapText="1"/>
    </xf>
    <xf numFmtId="164" fontId="31" fillId="22" borderId="1" xfId="0" applyNumberFormat="1" applyFont="1" applyFill="1" applyBorder="1" applyAlignment="1">
      <alignment horizontal="center" vertical="center" wrapText="1"/>
    </xf>
    <xf numFmtId="3" fontId="31" fillId="22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left" vertical="center" wrapText="1"/>
    </xf>
    <xf numFmtId="14" fontId="30" fillId="3" borderId="1" xfId="0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vertical="center"/>
    </xf>
    <xf numFmtId="0" fontId="31" fillId="3" borderId="1" xfId="0" applyFont="1" applyFill="1" applyBorder="1" applyAlignment="1">
      <alignment horizontal="left" vertical="center" wrapText="1"/>
    </xf>
    <xf numFmtId="4" fontId="30" fillId="3" borderId="1" xfId="0" applyNumberFormat="1" applyFont="1" applyFill="1" applyBorder="1" applyAlignment="1">
      <alignment horizontal="right" vertical="center" wrapText="1"/>
    </xf>
    <xf numFmtId="3" fontId="31" fillId="3" borderId="1" xfId="0" applyNumberFormat="1" applyFont="1" applyFill="1" applyBorder="1" applyAlignment="1">
      <alignment horizontal="right" vertical="center" wrapText="1"/>
    </xf>
    <xf numFmtId="165" fontId="30" fillId="3" borderId="1" xfId="0" applyNumberFormat="1" applyFont="1" applyFill="1" applyBorder="1" applyAlignment="1">
      <alignment horizontal="right" vertical="center" wrapText="1"/>
    </xf>
    <xf numFmtId="1" fontId="30" fillId="0" borderId="1" xfId="1" applyNumberFormat="1" applyFont="1" applyBorder="1" applyAlignment="1">
      <alignment horizontal="center"/>
    </xf>
    <xf numFmtId="0" fontId="28" fillId="0" borderId="1" xfId="0" applyFont="1" applyBorder="1"/>
    <xf numFmtId="10" fontId="28" fillId="0" borderId="1" xfId="1" applyNumberFormat="1" applyFont="1" applyBorder="1"/>
    <xf numFmtId="0" fontId="28" fillId="0" borderId="1" xfId="0" applyFont="1" applyBorder="1" applyAlignment="1">
      <alignment vertical="center"/>
    </xf>
    <xf numFmtId="14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4" fontId="28" fillId="0" borderId="1" xfId="0" applyNumberFormat="1" applyFont="1" applyBorder="1"/>
    <xf numFmtId="3" fontId="28" fillId="0" borderId="1" xfId="0" applyNumberFormat="1" applyFont="1" applyBorder="1"/>
    <xf numFmtId="164" fontId="28" fillId="0" borderId="1" xfId="0" applyNumberFormat="1" applyFont="1" applyBorder="1"/>
    <xf numFmtId="3" fontId="28" fillId="0" borderId="1" xfId="0" applyNumberFormat="1" applyFont="1" applyBorder="1" applyAlignment="1">
      <alignment vertical="center"/>
    </xf>
    <xf numFmtId="3" fontId="31" fillId="0" borderId="1" xfId="0" applyNumberFormat="1" applyFont="1" applyBorder="1" applyAlignment="1">
      <alignment horizontal="right" vertical="center" wrapText="1"/>
    </xf>
    <xf numFmtId="0" fontId="30" fillId="0" borderId="1" xfId="0" applyFont="1" applyBorder="1" applyAlignment="1">
      <alignment horizontal="center"/>
    </xf>
    <xf numFmtId="3" fontId="32" fillId="0" borderId="1" xfId="0" applyNumberFormat="1" applyFont="1" applyBorder="1" applyAlignment="1">
      <alignment horizontal="right" vertical="center" wrapText="1"/>
    </xf>
    <xf numFmtId="49" fontId="28" fillId="0" borderId="1" xfId="0" applyNumberFormat="1" applyFont="1" applyBorder="1" applyAlignment="1">
      <alignment horizontal="center" vertical="center"/>
    </xf>
    <xf numFmtId="168" fontId="28" fillId="0" borderId="1" xfId="1" applyNumberFormat="1" applyFont="1" applyBorder="1"/>
  </cellXfs>
  <cellStyles count="2">
    <cellStyle name="Normal" xfId="0" builtinId="0"/>
    <cellStyle name="Pourcentage" xfId="1" builtinId="5"/>
  </cellStyles>
  <dxfs count="7"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theme="5"/>
        </patternFill>
      </fill>
    </dxf>
    <dxf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strike val="0"/>
        <color theme="0"/>
      </font>
      <fill>
        <gradientFill type="path">
          <stop position="0">
            <color rgb="FFFF0000"/>
          </stop>
          <stop position="1">
            <color rgb="FF00B050"/>
          </stop>
        </gradientFill>
      </fill>
    </dxf>
  </dxfs>
  <tableStyles count="0" defaultTableStyle="TableStyleMedium2" defaultPivotStyle="PivotStyleLight16"/>
  <colors>
    <mruColors>
      <color rgb="FFF94545"/>
      <color rgb="FFFF21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13"/>
  <sheetViews>
    <sheetView zoomScale="91" zoomScaleNormal="91" workbookViewId="0">
      <pane ySplit="3" topLeftCell="A4" activePane="bottomLeft" state="frozen"/>
      <selection pane="bottomLeft" activeCell="A3" sqref="A3:S8"/>
    </sheetView>
  </sheetViews>
  <sheetFormatPr baseColWidth="10" defaultRowHeight="16.5" x14ac:dyDescent="0.3"/>
  <cols>
    <col min="1" max="1" width="22.7109375" style="94" customWidth="1"/>
    <col min="2" max="2" width="35" style="94" customWidth="1"/>
    <col min="3" max="3" width="15.140625" style="94" customWidth="1"/>
    <col min="4" max="4" width="13.5703125" style="94" bestFit="1" customWidth="1"/>
    <col min="5" max="5" width="17" style="94" customWidth="1"/>
    <col min="6" max="6" width="26.7109375" style="94" customWidth="1"/>
    <col min="7" max="7" width="8.140625" style="94" customWidth="1"/>
    <col min="8" max="8" width="11.42578125" style="94"/>
    <col min="9" max="9" width="11.5703125" style="94" bestFit="1" customWidth="1"/>
    <col min="10" max="10" width="11.42578125" style="94"/>
    <col min="11" max="11" width="11.5703125" style="94" bestFit="1" customWidth="1"/>
    <col min="12" max="12" width="13.28515625" style="94" customWidth="1"/>
    <col min="13" max="13" width="9.85546875" style="94" customWidth="1"/>
    <col min="14" max="15" width="11.5703125" style="94" bestFit="1" customWidth="1"/>
    <col min="16" max="16" width="11.42578125" style="94"/>
    <col min="17" max="17" width="11.5703125" style="94" bestFit="1" customWidth="1"/>
    <col min="18" max="18" width="8.7109375" style="99" customWidth="1"/>
    <col min="19" max="19" width="19.140625" style="94" customWidth="1"/>
    <col min="20" max="16384" width="11.42578125" style="94"/>
  </cols>
  <sheetData>
    <row r="1" spans="1:19" ht="40.5" x14ac:dyDescent="0.7">
      <c r="A1" s="92" t="s">
        <v>36</v>
      </c>
      <c r="B1" s="93"/>
      <c r="D1" s="95"/>
      <c r="E1" s="95"/>
      <c r="H1" s="96"/>
      <c r="I1" s="96"/>
      <c r="L1" s="96"/>
      <c r="M1" s="97"/>
      <c r="N1" s="96"/>
      <c r="Q1" s="98"/>
      <c r="S1" s="100"/>
    </row>
    <row r="2" spans="1:19" ht="40.5" x14ac:dyDescent="0.6">
      <c r="A2" s="95"/>
      <c r="B2" s="95"/>
      <c r="C2" s="93"/>
      <c r="D2" s="95"/>
      <c r="E2" s="95"/>
      <c r="H2" s="96"/>
      <c r="I2" s="96"/>
      <c r="L2" s="96"/>
      <c r="M2" s="97"/>
      <c r="N2" s="96"/>
      <c r="Q2" s="98"/>
      <c r="S2" s="100"/>
    </row>
    <row r="3" spans="1:19" ht="69" x14ac:dyDescent="0.3">
      <c r="A3" s="101" t="s">
        <v>17</v>
      </c>
      <c r="B3" s="101" t="s">
        <v>18</v>
      </c>
      <c r="C3" s="101" t="s">
        <v>19</v>
      </c>
      <c r="D3" s="101" t="s">
        <v>20</v>
      </c>
      <c r="E3" s="101" t="s">
        <v>21</v>
      </c>
      <c r="F3" s="101" t="s">
        <v>22</v>
      </c>
      <c r="G3" s="101" t="s">
        <v>23</v>
      </c>
      <c r="H3" s="101" t="s">
        <v>24</v>
      </c>
      <c r="I3" s="102" t="s">
        <v>25</v>
      </c>
      <c r="J3" s="101" t="s">
        <v>26</v>
      </c>
      <c r="K3" s="101" t="s">
        <v>27</v>
      </c>
      <c r="L3" s="101" t="s">
        <v>28</v>
      </c>
      <c r="M3" s="103" t="s">
        <v>29</v>
      </c>
      <c r="N3" s="101" t="s">
        <v>30</v>
      </c>
      <c r="O3" s="104" t="s">
        <v>31</v>
      </c>
      <c r="P3" s="104" t="s">
        <v>32</v>
      </c>
      <c r="Q3" s="104" t="s">
        <v>33</v>
      </c>
      <c r="R3" s="104" t="s">
        <v>34</v>
      </c>
      <c r="S3" s="104" t="s">
        <v>35</v>
      </c>
    </row>
    <row r="4" spans="1:19" ht="18.75" customHeight="1" x14ac:dyDescent="0.3">
      <c r="A4" s="105" t="s">
        <v>90</v>
      </c>
      <c r="B4" s="106" t="s">
        <v>91</v>
      </c>
      <c r="C4" s="106" t="s">
        <v>92</v>
      </c>
      <c r="D4" s="107">
        <v>45672</v>
      </c>
      <c r="E4" s="108">
        <v>121</v>
      </c>
      <c r="F4" s="109" t="s">
        <v>93</v>
      </c>
      <c r="G4" s="110" t="s">
        <v>94</v>
      </c>
      <c r="H4" s="105" t="s">
        <v>95</v>
      </c>
      <c r="I4" s="111">
        <v>2000</v>
      </c>
      <c r="J4" s="108" t="s">
        <v>0</v>
      </c>
      <c r="K4" s="111">
        <v>75</v>
      </c>
      <c r="L4" s="112">
        <f>+I4*K4</f>
        <v>150000</v>
      </c>
      <c r="M4" s="113">
        <v>0.72</v>
      </c>
      <c r="N4" s="112">
        <f>+K4*M4</f>
        <v>54</v>
      </c>
      <c r="O4" s="112">
        <f>+L4*M4</f>
        <v>108000</v>
      </c>
      <c r="P4" s="112"/>
      <c r="Q4" s="112">
        <f>+O4+P4</f>
        <v>108000</v>
      </c>
      <c r="R4" s="114">
        <v>2</v>
      </c>
      <c r="S4" s="115"/>
    </row>
    <row r="5" spans="1:19" ht="26.25" customHeight="1" x14ac:dyDescent="0.3">
      <c r="A5" s="105" t="s">
        <v>90</v>
      </c>
      <c r="B5" s="91" t="s">
        <v>107</v>
      </c>
      <c r="C5" s="91"/>
      <c r="D5" s="91"/>
      <c r="E5" s="91"/>
      <c r="F5" s="91" t="s">
        <v>66</v>
      </c>
      <c r="G5" s="91" t="s">
        <v>108</v>
      </c>
      <c r="H5" s="91"/>
      <c r="I5" s="91"/>
      <c r="J5" s="91"/>
      <c r="K5" s="91"/>
      <c r="L5" s="91"/>
      <c r="M5" s="91"/>
      <c r="N5" s="91"/>
      <c r="O5" s="91">
        <v>415</v>
      </c>
      <c r="P5" s="91"/>
      <c r="Q5" s="91">
        <v>415</v>
      </c>
      <c r="R5" s="91"/>
      <c r="S5" s="116">
        <f>+O5/O4</f>
        <v>3.8425925925925928E-3</v>
      </c>
    </row>
    <row r="6" spans="1:19" ht="18.75" customHeight="1" x14ac:dyDescent="0.3">
      <c r="A6" s="105" t="s">
        <v>90</v>
      </c>
      <c r="B6" s="117"/>
      <c r="C6" s="115"/>
      <c r="D6" s="118"/>
      <c r="E6" s="119"/>
      <c r="F6" s="117"/>
      <c r="G6" s="117"/>
      <c r="H6" s="120"/>
      <c r="I6" s="121"/>
      <c r="J6" s="120"/>
      <c r="K6" s="115"/>
      <c r="L6" s="122"/>
      <c r="M6" s="123"/>
      <c r="N6" s="122"/>
      <c r="O6" s="124"/>
      <c r="P6" s="122"/>
      <c r="Q6" s="125"/>
      <c r="R6" s="126"/>
      <c r="S6" s="115"/>
    </row>
    <row r="7" spans="1:19" ht="18.75" customHeight="1" x14ac:dyDescent="0.3">
      <c r="A7" s="105" t="s">
        <v>90</v>
      </c>
      <c r="B7" s="117"/>
      <c r="C7" s="115"/>
      <c r="D7" s="118"/>
      <c r="E7" s="119"/>
      <c r="F7" s="117"/>
      <c r="G7" s="117"/>
      <c r="H7" s="120"/>
      <c r="I7" s="121"/>
      <c r="J7" s="120"/>
      <c r="K7" s="115"/>
      <c r="L7" s="122"/>
      <c r="M7" s="123"/>
      <c r="N7" s="122"/>
      <c r="O7" s="124"/>
      <c r="P7" s="122"/>
      <c r="Q7" s="125"/>
      <c r="R7" s="126"/>
      <c r="S7" s="115"/>
    </row>
    <row r="8" spans="1:19" ht="18.75" customHeight="1" x14ac:dyDescent="0.3">
      <c r="A8" s="105" t="s">
        <v>90</v>
      </c>
      <c r="B8" s="117"/>
      <c r="C8" s="115"/>
      <c r="D8" s="119"/>
      <c r="E8" s="119"/>
      <c r="F8" s="117"/>
      <c r="G8" s="117"/>
      <c r="H8" s="120"/>
      <c r="I8" s="121"/>
      <c r="J8" s="120"/>
      <c r="K8" s="115"/>
      <c r="L8" s="122"/>
      <c r="M8" s="123"/>
      <c r="N8" s="122"/>
      <c r="O8" s="124"/>
      <c r="P8" s="122"/>
      <c r="Q8" s="125"/>
      <c r="R8" s="126"/>
      <c r="S8" s="115"/>
    </row>
    <row r="9" spans="1:19" ht="18.75" customHeight="1" x14ac:dyDescent="0.3">
      <c r="A9" s="105" t="s">
        <v>90</v>
      </c>
      <c r="B9" s="117"/>
      <c r="C9" s="115"/>
      <c r="D9" s="118"/>
      <c r="E9" s="119"/>
      <c r="F9" s="117"/>
      <c r="G9" s="117"/>
      <c r="H9" s="120"/>
      <c r="I9" s="121"/>
      <c r="J9" s="120"/>
      <c r="K9" s="115"/>
      <c r="L9" s="122"/>
      <c r="M9" s="123"/>
      <c r="N9" s="122"/>
      <c r="O9" s="124"/>
      <c r="P9" s="122"/>
      <c r="Q9" s="125"/>
      <c r="R9" s="126"/>
      <c r="S9" s="116"/>
    </row>
    <row r="10" spans="1:19" ht="18.75" customHeight="1" x14ac:dyDescent="0.3">
      <c r="A10" s="105" t="s">
        <v>90</v>
      </c>
      <c r="B10" s="117"/>
      <c r="C10" s="115"/>
      <c r="D10" s="118"/>
      <c r="E10" s="119"/>
      <c r="F10" s="117"/>
      <c r="G10" s="117"/>
      <c r="H10" s="120"/>
      <c r="I10" s="121"/>
      <c r="J10" s="120"/>
      <c r="K10" s="115"/>
      <c r="L10" s="122"/>
      <c r="M10" s="123"/>
      <c r="N10" s="122"/>
      <c r="O10" s="124"/>
      <c r="P10" s="122"/>
      <c r="Q10" s="127"/>
      <c r="R10" s="126"/>
      <c r="S10" s="115"/>
    </row>
    <row r="11" spans="1:19" ht="18.75" customHeight="1" x14ac:dyDescent="0.3">
      <c r="A11" s="105" t="s">
        <v>90</v>
      </c>
      <c r="B11" s="117"/>
      <c r="C11" s="115"/>
      <c r="D11" s="118"/>
      <c r="E11" s="119"/>
      <c r="F11" s="117"/>
      <c r="G11" s="117"/>
      <c r="H11" s="120"/>
      <c r="I11" s="121"/>
      <c r="J11" s="120"/>
      <c r="K11" s="115"/>
      <c r="L11" s="122"/>
      <c r="M11" s="123"/>
      <c r="N11" s="122"/>
      <c r="O11" s="124"/>
      <c r="P11" s="122"/>
      <c r="Q11" s="125"/>
      <c r="R11" s="126"/>
      <c r="S11" s="115"/>
    </row>
    <row r="12" spans="1:19" ht="18.75" customHeight="1" x14ac:dyDescent="0.3">
      <c r="A12" s="105" t="s">
        <v>90</v>
      </c>
      <c r="B12" s="117"/>
      <c r="C12" s="115"/>
      <c r="D12" s="118"/>
      <c r="E12" s="119"/>
      <c r="F12" s="117"/>
      <c r="G12" s="117"/>
      <c r="H12" s="120"/>
      <c r="I12" s="121"/>
      <c r="J12" s="120"/>
      <c r="K12" s="115"/>
      <c r="L12" s="122"/>
      <c r="M12" s="123"/>
      <c r="N12" s="122"/>
      <c r="O12" s="124"/>
      <c r="P12" s="122"/>
      <c r="Q12" s="125"/>
      <c r="R12" s="126"/>
      <c r="S12" s="115"/>
    </row>
    <row r="13" spans="1:19" ht="18.75" customHeight="1" x14ac:dyDescent="0.3">
      <c r="A13" s="105" t="s">
        <v>90</v>
      </c>
      <c r="B13" s="117"/>
      <c r="C13" s="115"/>
      <c r="D13" s="118"/>
      <c r="E13" s="128"/>
      <c r="F13" s="117"/>
      <c r="G13" s="117"/>
      <c r="H13" s="120"/>
      <c r="I13" s="121"/>
      <c r="J13" s="120"/>
      <c r="K13" s="115"/>
      <c r="L13" s="122"/>
      <c r="M13" s="123"/>
      <c r="N13" s="122"/>
      <c r="O13" s="124"/>
      <c r="P13" s="122"/>
      <c r="Q13" s="125"/>
      <c r="R13" s="126"/>
      <c r="S13" s="129"/>
    </row>
  </sheetData>
  <autoFilter ref="A3:S1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C17"/>
  <sheetViews>
    <sheetView tabSelected="1" topLeftCell="V1" zoomScale="78" zoomScaleNormal="78" workbookViewId="0">
      <pane ySplit="3" topLeftCell="A4" activePane="bottomLeft" state="frozen"/>
      <selection pane="bottomLeft" activeCell="R9" sqref="R9"/>
    </sheetView>
  </sheetViews>
  <sheetFormatPr baseColWidth="10" defaultRowHeight="25.5" customHeight="1" x14ac:dyDescent="0.25"/>
  <cols>
    <col min="1" max="1" width="14.7109375" style="22" customWidth="1"/>
    <col min="2" max="2" width="15.140625" style="22" customWidth="1"/>
    <col min="3" max="3" width="17.7109375" style="22" customWidth="1"/>
    <col min="4" max="4" width="8.5703125" style="22" customWidth="1"/>
    <col min="5" max="5" width="9.140625" style="22" customWidth="1"/>
    <col min="6" max="6" width="14" style="22" customWidth="1"/>
    <col min="7" max="7" width="46.28515625" style="22" customWidth="1"/>
    <col min="8" max="8" width="13.7109375" style="23" customWidth="1"/>
    <col min="9" max="9" width="12.140625" style="23" customWidth="1"/>
    <col min="10" max="10" width="11" style="32" customWidth="1"/>
    <col min="11" max="11" width="9.7109375" style="32" customWidth="1"/>
    <col min="12" max="12" width="8.5703125" style="24" customWidth="1"/>
    <col min="13" max="13" width="17.140625" style="22" customWidth="1"/>
    <col min="14" max="14" width="12.5703125" style="22" customWidth="1"/>
    <col min="15" max="15" width="13.28515625" style="22" customWidth="1"/>
    <col min="16" max="16" width="6.42578125" style="22" customWidth="1"/>
    <col min="17" max="17" width="17.42578125" style="22" customWidth="1"/>
    <col min="18" max="18" width="14.28515625" style="22" customWidth="1"/>
    <col min="19" max="19" width="7.85546875" style="22" customWidth="1"/>
    <col min="20" max="20" width="7" style="75" customWidth="1"/>
    <col min="21" max="21" width="9.5703125" style="22" customWidth="1"/>
    <col min="22" max="22" width="11.5703125" style="22" customWidth="1"/>
    <col min="23" max="23" width="14.5703125" style="22" customWidth="1"/>
    <col min="24" max="24" width="16.28515625" style="22" customWidth="1"/>
    <col min="25" max="26" width="13.42578125" style="22" customWidth="1"/>
    <col min="27" max="27" width="9.42578125" style="22" customWidth="1"/>
    <col min="28" max="28" width="10.85546875" style="22" customWidth="1"/>
    <col min="29" max="29" width="13.42578125" style="22" customWidth="1"/>
    <col min="30" max="30" width="14.85546875" style="22" customWidth="1"/>
    <col min="31" max="31" width="13.42578125" style="22" customWidth="1"/>
    <col min="32" max="32" width="16" style="22" customWidth="1"/>
    <col min="33" max="33" width="17.140625" style="22" customWidth="1"/>
    <col min="34" max="34" width="13.42578125" style="22" customWidth="1"/>
    <col min="35" max="35" width="13.28515625" style="22" customWidth="1"/>
    <col min="36" max="36" width="16.42578125" style="22" customWidth="1"/>
    <col min="37" max="37" width="13.42578125" style="22" customWidth="1"/>
    <col min="38" max="38" width="21" style="22" customWidth="1"/>
    <col min="39" max="39" width="16.5703125" style="22" customWidth="1"/>
    <col min="40" max="40" width="13.140625" style="22" customWidth="1"/>
    <col min="41" max="41" width="13.85546875" style="22" customWidth="1"/>
    <col min="42" max="46" width="17" style="22" customWidth="1"/>
    <col min="47" max="47" width="13.5703125" style="22" bestFit="1" customWidth="1"/>
    <col min="48" max="48" width="13.85546875" style="22" customWidth="1"/>
    <col min="49" max="49" width="12.5703125" style="22" customWidth="1"/>
    <col min="50" max="50" width="15.28515625" style="22" customWidth="1"/>
    <col min="51" max="51" width="12.7109375" style="22" customWidth="1"/>
    <col min="52" max="52" width="14.42578125" style="22" customWidth="1"/>
    <col min="53" max="54" width="12.5703125" style="22" customWidth="1"/>
    <col min="55" max="55" width="15.7109375" style="22" customWidth="1"/>
    <col min="56" max="16384" width="11.42578125" style="22"/>
  </cols>
  <sheetData>
    <row r="1" spans="1:55" s="29" customFormat="1" ht="29.25" customHeight="1" x14ac:dyDescent="0.25">
      <c r="A1" s="80" t="s">
        <v>37</v>
      </c>
      <c r="C1" s="30"/>
      <c r="D1" s="25"/>
      <c r="E1" s="25"/>
      <c r="F1" s="25"/>
      <c r="H1" s="26"/>
      <c r="I1" s="26"/>
      <c r="J1" s="27"/>
      <c r="K1" s="27"/>
      <c r="L1" s="26"/>
      <c r="M1" s="25"/>
      <c r="N1" s="25"/>
      <c r="O1" s="26"/>
      <c r="P1" s="26"/>
      <c r="Q1" s="26"/>
      <c r="R1" s="26"/>
      <c r="S1" s="27"/>
      <c r="T1" s="73"/>
      <c r="U1" s="65"/>
      <c r="W1" s="28">
        <f>SUM(W4:W1048576)</f>
        <v>150000</v>
      </c>
      <c r="X1" s="39">
        <f>SUM(X4:X5)</f>
        <v>462000</v>
      </c>
      <c r="Y1" s="49">
        <f ca="1">SUM(Y4:Y5)</f>
        <v>10723.5</v>
      </c>
      <c r="Z1" s="41">
        <f ca="1">SUM(Z4:Z5)</f>
        <v>3300</v>
      </c>
      <c r="AA1" s="68"/>
      <c r="AB1" s="68"/>
      <c r="AC1" s="68"/>
      <c r="AD1" s="68"/>
      <c r="AE1" s="68"/>
      <c r="AF1" s="68"/>
      <c r="AG1" s="68"/>
      <c r="AH1" s="68"/>
      <c r="AI1" s="68"/>
      <c r="AJ1" s="39">
        <f ca="1">SUM(AJ4:AJ5)</f>
        <v>488678.5</v>
      </c>
      <c r="AK1" s="39"/>
      <c r="AL1" s="55">
        <f ca="1">(Y1+Z1)/X1</f>
        <v>3.0353896103896105E-2</v>
      </c>
      <c r="AM1" s="78"/>
      <c r="AN1" s="78"/>
      <c r="AO1" s="78"/>
      <c r="AP1" s="78"/>
      <c r="AQ1" s="78"/>
      <c r="AR1" s="78"/>
      <c r="AS1" s="78"/>
      <c r="AT1" s="78"/>
      <c r="AU1" s="78"/>
      <c r="AV1" s="28">
        <f>SUM(AV4:AV1048576)</f>
        <v>108415</v>
      </c>
      <c r="AW1" s="26"/>
      <c r="AX1" s="26"/>
      <c r="AY1" s="26"/>
      <c r="AZ1" s="64">
        <f>SUM(AZ4:AZ5)</f>
        <v>0</v>
      </c>
      <c r="BA1" s="26"/>
      <c r="BB1" s="41">
        <f ca="1">SUM(BB4:BB5)</f>
        <v>3300</v>
      </c>
      <c r="BC1" s="58"/>
    </row>
    <row r="2" spans="1:55" ht="22.5" customHeight="1" x14ac:dyDescent="0.25">
      <c r="A2" s="5"/>
      <c r="B2" s="5"/>
      <c r="C2" s="5"/>
      <c r="D2" s="5"/>
      <c r="E2" s="5"/>
      <c r="F2" s="5"/>
      <c r="G2" s="87" t="s">
        <v>44</v>
      </c>
      <c r="H2" s="88"/>
      <c r="I2" s="88"/>
      <c r="J2" s="88"/>
      <c r="K2" s="88"/>
      <c r="L2" s="88"/>
      <c r="M2" s="88"/>
      <c r="N2" s="88"/>
      <c r="O2" s="88"/>
      <c r="P2" s="67"/>
      <c r="Q2" s="6"/>
      <c r="R2" s="6"/>
      <c r="S2" s="6"/>
      <c r="T2" s="74"/>
      <c r="U2" s="66"/>
      <c r="V2" s="50" t="s">
        <v>80</v>
      </c>
      <c r="W2" s="51">
        <v>3.08</v>
      </c>
      <c r="X2" s="84" t="s">
        <v>81</v>
      </c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6"/>
      <c r="AM2" s="89" t="s">
        <v>82</v>
      </c>
      <c r="AN2" s="90"/>
      <c r="AO2" s="90"/>
      <c r="AP2" s="90"/>
      <c r="AQ2" s="90"/>
      <c r="AR2" s="90"/>
      <c r="AS2" s="90"/>
      <c r="AT2" s="90"/>
      <c r="AU2" s="90"/>
      <c r="AV2" s="81" t="s">
        <v>83</v>
      </c>
      <c r="AW2" s="82"/>
      <c r="AX2" s="82"/>
      <c r="AY2" s="82"/>
      <c r="AZ2" s="82"/>
      <c r="BA2" s="83"/>
      <c r="BB2" s="53"/>
      <c r="BC2" s="53"/>
    </row>
    <row r="3" spans="1:55" s="45" customFormat="1" ht="65.25" customHeight="1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  <c r="G3" s="1" t="s">
        <v>44</v>
      </c>
      <c r="H3" s="1" t="s">
        <v>45</v>
      </c>
      <c r="I3" s="1" t="s">
        <v>46</v>
      </c>
      <c r="J3" s="1" t="s">
        <v>47</v>
      </c>
      <c r="K3" s="1" t="s">
        <v>48</v>
      </c>
      <c r="L3" s="1" t="s">
        <v>1</v>
      </c>
      <c r="M3" s="1" t="s">
        <v>49</v>
      </c>
      <c r="N3" s="1" t="s">
        <v>50</v>
      </c>
      <c r="O3" s="1" t="s">
        <v>51</v>
      </c>
      <c r="P3" s="2" t="s">
        <v>52</v>
      </c>
      <c r="Q3" s="1" t="s">
        <v>53</v>
      </c>
      <c r="R3" s="1" t="s">
        <v>54</v>
      </c>
      <c r="S3" s="1" t="s">
        <v>55</v>
      </c>
      <c r="T3" s="2" t="s">
        <v>25</v>
      </c>
      <c r="U3" s="1" t="s">
        <v>56</v>
      </c>
      <c r="V3" s="1" t="s">
        <v>57</v>
      </c>
      <c r="W3" s="1" t="s">
        <v>58</v>
      </c>
      <c r="X3" s="33" t="s">
        <v>59</v>
      </c>
      <c r="Y3" s="48" t="s">
        <v>60</v>
      </c>
      <c r="Z3" s="42" t="s">
        <v>61</v>
      </c>
      <c r="AA3" s="33" t="s">
        <v>15</v>
      </c>
      <c r="AB3" s="33" t="s">
        <v>62</v>
      </c>
      <c r="AC3" s="33" t="s">
        <v>63</v>
      </c>
      <c r="AD3" s="33" t="s">
        <v>64</v>
      </c>
      <c r="AE3" s="33" t="s">
        <v>65</v>
      </c>
      <c r="AF3" s="33" t="s">
        <v>66</v>
      </c>
      <c r="AG3" s="69" t="s">
        <v>67</v>
      </c>
      <c r="AH3" s="69" t="s">
        <v>68</v>
      </c>
      <c r="AI3" s="69" t="s">
        <v>69</v>
      </c>
      <c r="AJ3" s="33" t="s">
        <v>70</v>
      </c>
      <c r="AK3" s="33" t="s">
        <v>71</v>
      </c>
      <c r="AL3" s="71" t="s">
        <v>72</v>
      </c>
      <c r="AM3" s="79" t="s">
        <v>12</v>
      </c>
      <c r="AN3" s="33" t="s">
        <v>15</v>
      </c>
      <c r="AO3" s="33" t="s">
        <v>62</v>
      </c>
      <c r="AP3" s="33" t="s">
        <v>63</v>
      </c>
      <c r="AQ3" s="33" t="s">
        <v>64</v>
      </c>
      <c r="AR3" s="33" t="s">
        <v>65</v>
      </c>
      <c r="AS3" s="33" t="s">
        <v>66</v>
      </c>
      <c r="AT3" s="79" t="s">
        <v>67</v>
      </c>
      <c r="AU3" s="79" t="s">
        <v>16</v>
      </c>
      <c r="AV3" s="7" t="s">
        <v>73</v>
      </c>
      <c r="AW3" s="7" t="s">
        <v>74</v>
      </c>
      <c r="AX3" s="7" t="s">
        <v>75</v>
      </c>
      <c r="AY3" s="8" t="s">
        <v>76</v>
      </c>
      <c r="AZ3" s="9" t="s">
        <v>77</v>
      </c>
      <c r="BA3" s="8" t="s">
        <v>78</v>
      </c>
      <c r="BB3" s="9" t="s">
        <v>79</v>
      </c>
      <c r="BC3" s="56" t="s">
        <v>72</v>
      </c>
    </row>
    <row r="4" spans="1:55" ht="29.25" customHeight="1" x14ac:dyDescent="0.25">
      <c r="A4" s="3" t="s">
        <v>90</v>
      </c>
      <c r="B4" s="3" t="s">
        <v>87</v>
      </c>
      <c r="C4" s="3" t="s">
        <v>2</v>
      </c>
      <c r="D4" s="3">
        <v>15</v>
      </c>
      <c r="E4" s="3">
        <v>20</v>
      </c>
      <c r="F4" s="40" t="s">
        <v>14</v>
      </c>
      <c r="G4" s="52" t="s">
        <v>84</v>
      </c>
      <c r="H4" s="20">
        <v>45671</v>
      </c>
      <c r="I4" s="20">
        <v>45684</v>
      </c>
      <c r="J4" s="31">
        <f ca="1">IF(O4&lt;&gt;"",O4-I4,TODAY()-I4)</f>
        <v>34</v>
      </c>
      <c r="K4" s="31">
        <v>12</v>
      </c>
      <c r="L4" s="19" t="s">
        <v>96</v>
      </c>
      <c r="M4" s="10">
        <v>45713</v>
      </c>
      <c r="N4" s="11">
        <v>2519</v>
      </c>
      <c r="O4" s="20">
        <v>45718</v>
      </c>
      <c r="P4" s="12">
        <f t="shared" ref="P4" si="0">IFERROR(+MONTH(O4),"")</f>
        <v>3</v>
      </c>
      <c r="Q4" s="21" t="s">
        <v>97</v>
      </c>
      <c r="R4" s="13" t="s">
        <v>98</v>
      </c>
      <c r="S4" s="3" t="s">
        <v>93</v>
      </c>
      <c r="T4" s="77">
        <v>2000</v>
      </c>
      <c r="U4" s="18">
        <f>+SUMIFS('Import Record Details'!$M:$M,'Import Record Details'!$A:$A,'Import - recap'!$A4)</f>
        <v>0.72</v>
      </c>
      <c r="V4" s="14">
        <v>75</v>
      </c>
      <c r="W4" s="14">
        <f>T4*V4</f>
        <v>150000</v>
      </c>
      <c r="X4" s="14">
        <f t="shared" ref="X4:X17" si="1">IF($G4="Arrived at Port",$W4*$W$2,IF($G4="Paid, Not Yet Arrived at Factory",$W4*$W$2,IF($G4="cloturé",$W4*$U4,IF($G4="arrivé a l'usine non payé",$W4*$W$2,""))))</f>
        <v>462000</v>
      </c>
      <c r="Y4" s="49">
        <f ca="1">IF($G4="Arrived at Port",IF($E4&lt;&gt;"",IF($E4=20,IF($J4&lt;2,0,IF($J4&lt;=7,(($J4-2)*Schedule!$C$3*$D4),5*Schedule!$C$3*$D4))+IF(AND($J4&gt;7,$J4&lt;=15),($J4-7)*Schedule!$C$4*$D4,IF($J4&gt;15,8*Schedule!$C$4*$D4))+(IF($J4&gt;15,(($J4-15)*Schedule!$C$5*'Import - recap'!$D4),0))+IF($J4&lt;=5,(($J4-0)*Schedule!$C$6*'Import - recap'!$D4),5*Schedule!$C$6*'Import - recap'!$D4)+IF(AND($J4&gt;5,$J4&lt;=10),($J4-5)*Schedule!$C$7*'Import - recap'!$D4,IF($J4&gt;10,5*Schedule!$C$7*'Import - recap'!$D4)+IF(AND($J4&gt;10,$J4&lt;=15),($J4-10)*Schedule!$C$8*'Import - recap'!$D4,IF($J4&gt;15,5*Schedule!$C$8*'Import - recap'!$D4)+IF(AND($J4&gt;15,$J4&lt;=45),($J4-15)*Schedule!$C$9*'Import - recap'!$D4,IF($J4&gt;45,30*Schedule!$C$9*'Import - recap'!$D4)+(IF($J4&gt;45,(($J4-45)*Schedule!$C$9*'Import - recap'!$D4))))))+($J4*$D4*Schedule!$C$2),IF($J4&lt;2,0,IF($J4&lt;=7,(($J4-2)*Schedule!$D$3*$D4),5*Schedule!$D$3*$D4))+IF(AND($J4&gt;7,$J4&lt;=15),($J4-7)*Schedule!$D$4*$D4,IF($J4&gt;15,8*Schedule!$D$4*$D4))+(IF($J4&gt;15,(($J4-15)*Schedule!$D$5*'Import - recap'!$D4),0))+IF($J4&lt;=5,(($J4-0)*Schedule!$D$6*'Import - recap'!$D4),5*Schedule!$D$6*'Import - recap'!$D4)+IF(AND($J4&gt;5,$J4&lt;=10),($J4-5)*Schedule!$D$7*'Import - recap'!$D4,IF($J4&gt;10,5*Schedule!$D$7*'Import - recap'!$D4)+IF(AND($J4&gt;10,$J4&lt;=15),($J4-10)*Schedule!$D$8*'Import - recap'!$D4,IF($J4&gt;15,5*Schedule!$D$8*'Import - recap'!$D4)+IF(AND($J4&gt;15,$J4&lt;=45),($J4-15)*Schedule!$D$9*'Import - recap'!$D4,IF($J4&gt;45,30*Schedule!$D$9*'Import - recap'!$D4)+(IF($J4&gt;45,(($J4-45)*Schedule!$D$9*'Import - recap'!$D4))))))+($J4*$D4*Schedule!$D$2)),"erreur"),IF($G4="Paid, Not Yet Arrived at Factory",IF($E4&lt;&gt;"",IF($E4=20,IF($J4&lt;2,0,IF($J4&lt;=7,(($J4-2)*Schedule!$C$3*$D4),5*Schedule!$C$3*$D4))+IF(AND($J4&gt;7,$J4&lt;=15),($J4-7)*Schedule!$C$4*$D4,IF($J4&gt;15,8*Schedule!$C$4*$D4))+(IF($J4&gt;15,(($J4-15)*Schedule!$C$5*'Import - recap'!$D4),0))+IF($J4&lt;=5,(($J4-0)*Schedule!$C$6*'Import - recap'!$D4),5*Schedule!$C$6*'Import - recap'!$D4)+IF(AND($J4&gt;5,$J4&lt;=10),($J4-5)*Schedule!$C$7*'Import - recap'!$D4,IF($J4&gt;10,5*Schedule!$C$7*'Import - recap'!$D4)+IF(AND($J4&gt;10,$J4&lt;=15),($J4-10)*Schedule!$C$8*'Import - recap'!$D4,IF($J4&gt;15,5*Schedule!$C$8*'Import - recap'!$D4)+IF(AND($J4&gt;15,$J4&lt;=45),($J4-15)*Schedule!$C$9*'Import - recap'!$D4,IF($J4&gt;45,30*Schedule!$C$9*'Import - recap'!$D4)+(IF($J4&gt;45,(($J4-45)*Schedule!$C$9*'Import - recap'!$D4))))))+($J4*$D4*Schedule!$C$2),IF($J4&lt;2,0,IF($J4&lt;=7,(($J4-2)*Schedule!$D$3*$D4),5*Schedule!$D$3*$D4))+IF(AND($J4&gt;7,$J4&lt;=15),($J4-7)*Schedule!$D$4*$D4,IF($J4&gt;15,8*Schedule!$D$4*$D4))+(IF($J4&gt;15,(($J4-15)*Schedule!$D$5*'Import - recap'!$D4),0))+IF($J4&lt;=5,(($J4-0)*Schedule!$D$6*'Import - recap'!$D4),5*Schedule!$D$6*'Import - recap'!$D4)+IF(AND($J4&gt;5,$J4&lt;=10),($J4-5)*Schedule!$D$7*'Import - recap'!$D4,IF($J4&gt;10,5*Schedule!$D$7*'Import - recap'!$D4)+IF(AND($J4&gt;10,$J4&lt;=15),($J4-10)*Schedule!$D$8*'Import - recap'!$D4,IF($J4&gt;15,5*Schedule!$D$8*'Import - recap'!$D4)+IF(AND($J4&gt;15,$J4&lt;=45),($J4-15)*Schedule!$D$9*'Import - recap'!$D4,IF($J4&gt;45,30*Schedule!$D$9*'Import - recap'!$D4)+(IF($J4&gt;45,(($J4-45)*Schedule!$D$9*'Import - recap'!$D4))))))+($J4*$D4*Schedule!$D$2)),"erreur")))</f>
        <v>10723.5</v>
      </c>
      <c r="Z4" s="41">
        <f ca="1">IF($G4="Arrived at Port",IF(B4="SK",IF($E4=20,IF(AND($J4&gt;12,$J4&lt;=21),($J4-12)*Schedule!$C$14*'Import - recap'!$D4,IF($J4&gt;21,9*Schedule!$C$14*'Import - recap'!$D4)+(IF($J4&gt;21,(($J4-21)*Schedule!$C$15*'Import - recap'!$D4)))),IF(AND($J4&gt;12,$J4&lt;=21),($J4-12)*Schedule!$D$14*'Import - recap'!$D4,IF($J4&gt;21,9*Schedule!$D$14*'Import - recap'!$D4)+(IF($J4&gt;21,(($J4-21)*Schedule!$D$15*'Import - recap'!$D4))))),IF(B4="Company 1",IF($E4=20,IF(AND($J4&gt;12,$J4&lt;=21),($J4-12)*Schedule!$C$16*'Import - recap'!$D4,IF($J4&gt;21,9*Schedule!$C$16*'Import - recap'!$D4)+(IF($J4&gt;21,(($J4-21)*Schedule!$C$17*'Import - recap'!$D4)))),IF(AND($J4&gt;12,$J4&lt;=21),($J4-12)*Schedule!$D$16*'Import - recap'!$D4,IF($J4&gt;21,9*Schedule!$D$16*'Import - recap'!$D4)+(IF($J4&gt;21,(($J4-21)*Schedule!$D$17*'Import - recap'!$D4))))),IF(B4="Company 2",IF($E4=20,IF(AND($J4&gt;12,$J4&lt;=21),($J4-12)*Schedule!$C$18*'Import - recap'!$D4,IF($J4&gt;21,9*Schedule!$C$18*'Import - recap'!$D4)+(IF($J4&gt;21,(($J4-21)*Schedule!$C$19*'Import - recap'!$D4)))),IF(AND($J4&gt;12,$J4&lt;=21),($J4-12)*Schedule!$D$18*'Import - recap'!$D4,IF($J4&gt;21,9*Schedule!$D$18*'Import - recap'!$D4)+(IF($J4&gt;21,(($J4-21)*Schedule!$D$19*'Import - recap'!$D4)))))))),IF($G4="Paid, Not Yet Arrived at Factory",IF(B4="SK",IF($E4=20,IF(AND($J4&gt;12,$J4&lt;=21),($J4-12)*Schedule!$C$14*'Import - recap'!$D4,IF($J4&gt;21,9*Schedule!$C$14*'Import - recap'!$D4)+(IF($J4&gt;21,(($J4-21)*Schedule!$C$15*'Import - recap'!$D4)))),IF(AND($J4&gt;12,$J4&lt;=21),($J4-12)*Schedule!$D$14*'Import - recap'!$D4,IF($J4&gt;21,9*Schedule!$D$14*'Import - recap'!$D4)+(IF($J4&gt;21,(($J4-21)*Schedule!$D$15*'Import - recap'!$D4))))),IF(B4="Company 1",IF($E4=20,IF(AND($J4&gt;12,$J4&lt;=21),($J4-12)*Schedule!$C$16*'Import - recap'!$D4,IF($J4&gt;21,9*Schedule!$C$16*'Import - recap'!$D4)+(IF($J4&gt;21,(($J4-21)*Schedule!$C$17*'Import - recap'!$D4)))),IF(AND($J4&gt;12,$J4&lt;=21),($J4-12)*Schedule!$D$16*'Import - recap'!$D4,IF($J4&gt;21,9*Schedule!$D$16*'Import - recap'!$D4)+(IF($J4&gt;21,(($J4-21)*Schedule!$D$17*'Import - recap'!$D4))))),IF(B4="Company 2",IF($E4=20,IF(AND($J4&gt;12,$J4&lt;=21),($J4-12)*Schedule!$C$18*'Import - recap'!$D4,IF($J4&gt;21,9*Schedule!$C$18*'Import - recap'!$D4)+(IF($J4&gt;21,(($J4-21)*Schedule!$C$19*'Import - recap'!$D4)))),IF(AND($J4&gt;12,$J4&lt;=21),($J4-12)*Schedule!$D$18*'Import - recap'!$D4,IF($J4&gt;21,9*Schedule!$D$18*'Import - recap'!$D4)+(IF($J4&gt;21,(($J4-21)*Schedule!$D$19*'Import - recap'!$D4))))))))))</f>
        <v>3300</v>
      </c>
      <c r="AA4" s="14" t="str">
        <f t="shared" ref="AA4:AA17" si="2">IF(AND($G4="Arrived at Port",$S4="HP"),$X4*0.19*0.03,IF(AND($G4="arrivé a l'usine non payé",$S4="HP"),$X4*0.19*0.03,IF(AND($G4="Paid, Not Yet Arrived at Factory",$S4="HP"),$X4*0.19*0.03,"0")))</f>
        <v>0</v>
      </c>
      <c r="AB4" s="14">
        <f>(IFERROR(IF(AND($G4="Arrived at Port",$S4="FP"),$D4*200,IF(AND($G4="arrivé a l'usine non payé",$S4="FP"),$D4*200,IF(AND($G4="Paid, Not Yet Arrived at Factory",$S4="FP"),$D4*200,IF(AND($G4="Arrived at Port",$S4="GM"),$D4*200,IF(AND($G4="arrivé a l'usine non payé",$S4="GM"),$D4*200,IF(AND($G4="Paid, Not Yet Arrived at Factory",$S4="GM"),$D4*200,IF(AND($G4="Arrived at Port",$S4="DDGS"),$D4*200,IF(AND($G4="arrivé a l'usine non payé",$S4="DDGS"),$D4*200,IF(AND($G4="Paid, Not Yet Arrived at Factory",$S4="DDGS"),$D4*200,D4*100)))))+IF($G4="Arrived at Port","19",IF($G4="arrivé a l'usine non payé","19",IF($G4="Paid, Not Yet Arrived at Factory","19",""))))))),""))</f>
        <v>1519</v>
      </c>
      <c r="AC4" s="14">
        <f t="shared" ref="AC4:AC17" si="3">IF($G4="Arrived at Port",$X4*0.04%,IF($G4="arrivé a l'usine non payé",$X4*0.04%,IF($G4="Paid, Not Yet Arrived at Factory",$X4*0.04%,"")))</f>
        <v>184.8</v>
      </c>
      <c r="AD4" s="14">
        <f t="shared" ref="AD4:AD17" si="4">IF($G4="Arrived at Port",$D4*650,IF($G4="arrivé a l'usine non payé",$D4*650,IF($G4="Paid, Not Yet Arrived at Factory",$D4*650,"")))</f>
        <v>9750</v>
      </c>
      <c r="AE4" s="14">
        <f t="shared" ref="AE4:AE17" si="5">IF($G4="Arrived at Port",$X4*0.2%,IF($G4="arrivé a l'usine non payé",$X4*0.2%,IF($G4="Paid, Not Yet Arrived at Factory",$X4*0.2%,"")))</f>
        <v>924</v>
      </c>
      <c r="AF4" s="14">
        <f t="shared" ref="AF4:AF17" si="6">IF($G4="Arrived at Port",$X4*0.06%,IF($G4="arrivé a l'usine non payé",$X4*0.06%,IF($G4="Paid, Not Yet Arrived at Factory",$X4*0.06%,"")))</f>
        <v>277.2</v>
      </c>
      <c r="AG4" s="70">
        <f t="shared" ref="AG4:AG5" ca="1" si="7">IFERROR(X4+Y4+AB4+AC4+AD4+AE4+AF4+AA4,"")</f>
        <v>485378.5</v>
      </c>
      <c r="AH4" s="70">
        <f t="shared" ref="AH4:AH5" ca="1" si="8">IFERROR(AG4/T4,"")</f>
        <v>242.68924999999999</v>
      </c>
      <c r="AI4" s="72">
        <f t="shared" ref="AI4:AI17" ca="1" si="9">IF($G4="Arrived at Port",((Y4/$W4)+(AB4/$W4)+(AC4/$W4)+(AD4/$W4)+(AE4/$W4)+(AF4/$W4))+$W$2,IF($G4="arrivé a l'usine non payé",((Y4/$W4)+(AB4/$W4)+(AC4/$W4)+(AD4/$W4)+(AE4/$W4)+(AF4/$W4))+$W$2,IF($G4="Paid, Not Yet Arrived at Factory",((Y4/$W4)+(AB4/$W4)+(AC4/$W4)+(AD4/$W4)+(AE4/$W4)+(AF4/$W4))+($AA4/$W4)+$W$2,"")))</f>
        <v>3.2358566666666668</v>
      </c>
      <c r="AJ4" s="34">
        <f t="shared" ref="AJ4:AJ17" ca="1" si="10">IF($G4="Arrived at Port",SUM($X4:$AF4),IF($G4="arrivé a l'usine non payé",SUM($X4:$AF4),IF($G4="Paid, Not Yet Arrived at Factory",SUM($X4:$AF4),"")))</f>
        <v>488678.5</v>
      </c>
      <c r="AK4" s="34">
        <f t="shared" ref="AK4:AK17" ca="1" si="11">IF($G4="Arrived at Port",$AJ4/$T4,IF($G4="arrivé a l'usine non payé",$X4*0.06%,IF($G4="Paid, Not Yet Arrived at Factory",$X4*0.06%,"")))</f>
        <v>244.33924999999999</v>
      </c>
      <c r="AL4" s="54">
        <f t="shared" ref="AL4:AL5" ca="1" si="12">IFERROR(+(Z4+Y4)/AJ4,"")</f>
        <v>2.8696781217098767E-2</v>
      </c>
      <c r="AM4" s="49">
        <f ca="1">IF($G4="Arrived at Port",IF($E4&lt;&gt;"",IF($E4=20,IF($J4&lt;2,0,IF($J4&lt;=7,(($J4-2)*Schedule!$C$3*$D4),5*Schedule!$C$3*$D4))+IF(AND($J4&gt;7,$J4&lt;=15),($J4-7)*Schedule!$C$4*$D4,IF($J4&gt;15,8*Schedule!$C$4*$D4))+(IF($J4&gt;15,(($J4-15)*Schedule!$C$5*'Import - recap'!$D4),0))+IF($J4&lt;=5,(($J4-0)*Schedule!$C$6*'Import - recap'!$D4),5*Schedule!$C$6*'Import - recap'!$D4)+IF(AND($J4&gt;5,$J4&lt;=10),($J4-5)*Schedule!$C$7*'Import - recap'!$D4,IF($J4&gt;10,5*Schedule!$C$7*'Import - recap'!$D4)+IF(AND($J4&gt;10,$J4&lt;=15),($J4-10)*Schedule!$C$8*'Import - recap'!$D4,IF($J4&gt;15,5*Schedule!$C$8*'Import - recap'!$D4)+IF(AND($J4&gt;15,$J4&lt;=45),($J4-15)*Schedule!$C$9*'Import - recap'!$D4,IF($J4&gt;45,30*Schedule!$C$9*'Import - recap'!$D4)+(IF($J4&gt;45,(($J4-45)*Schedule!$C$9*'Import - recap'!$D4))))))+($J4*$D4*Schedule!$C$2),IF($J4&lt;2,0,IF($J4&lt;=7,(($J4-2)*Schedule!$D$3*$D4),5*Schedule!$D$3*$D4))+IF(AND($J4&gt;7,$J4&lt;=15),($J4-7)*Schedule!$D$4*$D4,IF($J4&gt;15,8*Schedule!$D$4*$D4))+(IF($J4&gt;15,(($J4-15)*Schedule!$D$5*'Import - recap'!$D4),0))+IF($J4&lt;=5,(($J4-0)*Schedule!$D$6*'Import - recap'!$D4),5*Schedule!$D$6*'Import - recap'!$D4)+IF(AND($J4&gt;5,$J4&lt;=10),($J4-5)*Schedule!$D$7*'Import - recap'!$D4,IF($J4&gt;10,5*Schedule!$D$7*'Import - recap'!$D4)+IF(AND($J4&gt;10,$J4&lt;=15),($J4-10)*Schedule!$D$8*'Import - recap'!$D4,IF($J4&gt;15,5*Schedule!$D$8*'Import - recap'!$D4)+IF(AND($J4&gt;15,$J4&lt;=45),($J4-15)*Schedule!$D$9*'Import - recap'!$D4,IF($J4&gt;45,30*Schedule!$D$9*'Import - recap'!$D4)+(IF($J4&gt;45,(($J4-45)*Schedule!$D$9*'Import - recap'!$D4))))))+($J4*$D4*Schedule!$D$2)),"erreur"),IF($G4="Paid, Not Yet Arrived at Factory",IF($E4&lt;&gt;"",IF($E4=20,IF($J4&lt;2,0,IF($J4&lt;=7,(($J4-2)*Schedule!$C$3*$D4),5*Schedule!$C$3*$D4))+IF(AND($J4&gt;7,$J4&lt;=15),($J4-7)*Schedule!$C$4*$D4,IF($J4&gt;15,8*Schedule!$C$4*$D4))+(IF($J4&gt;15,(($J4-15)*Schedule!$C$5*'Import - recap'!$D4),0))+IF($J4&lt;=5,(($J4-0)*Schedule!$C$6*'Import - recap'!$D4),5*Schedule!$C$6*'Import - recap'!$D4)+IF(AND($J4&gt;5,$J4&lt;=10),($J4-5)*Schedule!$C$7*'Import - recap'!$D4,IF($J4&gt;10,5*Schedule!$C$7*'Import - recap'!$D4)+IF(AND($J4&gt;10,$J4&lt;=15),($J4-10)*Schedule!$C$8*'Import - recap'!$D4,IF($J4&gt;15,5*Schedule!$C$8*'Import - recap'!$D4)+IF(AND($J4&gt;15,$J4&lt;=45),($J4-15)*Schedule!$C$9*'Import - recap'!$D4,IF($J4&gt;45,30*Schedule!$C$9*'Import - recap'!$D4)+(IF($J4&gt;45,(($J4-45)*Schedule!$C$9*'Import - recap'!$D4))))))+($J4*$D4*Schedule!$C$2),IF($J4&lt;2,0,IF($J4&lt;=7,(($J4-2)*Schedule!$D$3*$D4),5*Schedule!$D$3*$D4))+IF(AND($J4&gt;7,$J4&lt;=15),($J4-7)*Schedule!$D$4*$D4,IF($J4&gt;15,8*Schedule!$D$4*$D4))+(IF($J4&gt;15,(($J4-15)*Schedule!$D$5*'Import - recap'!$D4),0))+IF($J4&lt;=5,(($J4-0)*Schedule!$D$6*'Import - recap'!$D4),5*Schedule!$D$6*'Import - recap'!$D4)+IF(AND($J4&gt;5,$J4&lt;=10),($J4-5)*Schedule!$D$7*'Import - recap'!$D4,IF($J4&gt;10,5*Schedule!$D$7*'Import - recap'!$D4)+IF(AND($J4&gt;10,$J4&lt;=15),($J4-10)*Schedule!$D$8*'Import - recap'!$D4,IF($J4&gt;15,5*Schedule!$D$8*'Import - recap'!$D4)+IF(AND($J4&gt;15,$J4&lt;=45),($J4-15)*Schedule!$D$9*'Import - recap'!$D4,IF($J4&gt;45,30*Schedule!$D$9*'Import - recap'!$D4)+(IF($J4&gt;45,(($J4-45)*Schedule!$D$9*'Import - recap'!$D4))))))+($J4*$D4*Schedule!$D$2)),"erreur")))</f>
        <v>10723.5</v>
      </c>
      <c r="AN4" s="14" t="str">
        <f t="shared" ref="AN4:AN17" si="13">IF(AND($G4="Arrived at Port",$S4="HP"),$X4*0.19*0.03,IF(AND($G4="arrivé a l'usine non payé",$S4="HP"),$X4*0.19*0.03,IF(AND($G4="Paid, Not Yet Arrived at Factory",$S4="HP"),$X4*0.19*0.03,"0")))</f>
        <v>0</v>
      </c>
      <c r="AO4" s="14"/>
      <c r="AP4" s="14">
        <f>IF(SUMIFS('Import Record Details'!$O:$O,'Import Record Details'!$F:$F,'Import - recap'!$AP$3,'Import Record Details'!$A:$A,'Import - recap'!$A4)=0,IF($G4="Arrived at Port",$X4*0.04%,IF($G4="arrivé a l'usine non payé",$X4*0.04%,IF($G4="Paid, Not Yet Arrived at Factory",$X4*0.04%,""))),SUMIFS('Import Record Details'!$O:$O,'Import Record Details'!$F:$F,'Import - recap'!$AP$3,'Import Record Details'!$A:$A,'Import - recap'!$A4))</f>
        <v>184.8</v>
      </c>
      <c r="AQ4" s="14">
        <f>IF(SUMIFS('Import Record Details'!$O:$O,'Import Record Details'!$F:$F,'Import - recap'!$AQ$3,'Import Record Details'!$A:$A,'Import - recap'!$A4)=0,IF($G4="Arrived at Port",$D4*650,IF($G4="arrivé a l'usine non payé",$D4*650,IF($G4="Paid, Not Yet Arrived at Factory",$D4*650,""))),SUMIFS('Import Record Details'!$O:$O,'Import Record Details'!$F:$F,'Import - recap'!$AQ$3,'Import Record Details'!$A:$A,'Import - recap'!$A4))</f>
        <v>9750</v>
      </c>
      <c r="AR4" s="14">
        <f>IF(SUMIFS('Import Record Details'!$O:$O,'Import Record Details'!$F:$F,'Import - recap'!$AR$3,'Import Record Details'!$A:$A,'Import - recap'!$A4)=0,IF($G4="Arrived at Port",$X4*0.2%,IF($G4="arrivé a l'usine non payé",$X4*0.2%,IF($G4="Paid, Not Yet Arrived at Factory",$X4*0.2%,""))),SUMIFS('Import Record Details'!$O:$O,'Import Record Details'!$F:$F,'Import - recap'!$AR$3,'Import Record Details'!$A:$A,'Import - recap'!$A4))</f>
        <v>924</v>
      </c>
      <c r="AS4" s="14">
        <f>IF(SUMIFS('Import Record Details'!$O:$O,'Import Record Details'!$F:$F,'Import - recap'!$AS$3,'Import Record Details'!$A:$A,'Import - recap'!$A4)=0,IF($G4="Arrived at Port",$X4*0.06%,IF($G4="arrivé a l'usine non payé",$X4*0.06%,IF($G4="Paid, Not Yet Arrived at Factory",$X4*0.06%,""))),SUMIFS('Import Record Details'!$O:$O,'Import Record Details'!$F:$F,'Import - recap'!$AS$3,'Import Record Details'!$A:$A,'Import - recap'!$A4))</f>
        <v>415</v>
      </c>
      <c r="AT4" s="54"/>
      <c r="AU4" s="72">
        <f t="shared" ref="AU4:AU17" ca="1" si="14">IF($G4="Arrived at Port",((AM4/$W4)+(AN4/$W4)+(AO4/$W4)+(AP4/$W4)+(AQ4/$W4)+(AR4/$W4))+$W$2,IF($G4="arrivé a l'usine non payé",((AM4/$W4)+(AN4/$W4)+(AO4/$W4)+(AP4/$W4)+(AQ4/$W4)+(AR4/$W4))+$W$2,IF($G4="Paid, Not Yet Arrived at Factory",((AM4/$W4)+(AN4/$W4)+(AO4/$W4)+(AP4/$W4)+(AQ4/$W4)+(AR4/$W4))+($AS4/$W4)+$W$2,"")))</f>
        <v>3.2238820000000001</v>
      </c>
      <c r="AV4" s="15">
        <f>AY4-AZ4</f>
        <v>108415</v>
      </c>
      <c r="AW4" s="15">
        <f t="shared" ref="AW4:AW5" si="15">IFERROR(AV4/T4,"")</f>
        <v>54.207500000000003</v>
      </c>
      <c r="AX4" s="76" t="b">
        <f t="shared" ref="AX4:AX17" si="16">IF($G4="cloturé",$AV4/$W4)</f>
        <v>0</v>
      </c>
      <c r="AY4" s="17">
        <f>SUMIFS('Import Record Details'!$O:$O,'Import Record Details'!$A:$A,'Import - recap'!$A4)</f>
        <v>108415</v>
      </c>
      <c r="AZ4" s="16" t="b">
        <f>IF((+SUMIFS('Import Record Details'!$O:$O,'Import Record Details'!$A:$A,'Import - recap'!$A4,'Import Record Details'!$F:$F,'Import - recap'!$AZ$3)=0),IF($G4="cloturé",IF(B4="SK",IF($E4=20,IF(AND($J4&gt;12,$J4&lt;=21),($J4-12)*Schedule!$C$14*'Import - recap'!$D4,IF($J4&gt;21,9*Schedule!$C$14*'Import - recap'!$D4)+(IF($J4&gt;21,(($J4-21)*Schedule!$C$15*'Import - recap'!$D4)))),IF(AND($J4&gt;12,$J4&lt;=21),($J4-12)*Schedule!$D$14*'Import - recap'!$D4,IF($J4&gt;21,9*Schedule!$D$14*'Import - recap'!$D4)+(IF($J4&gt;21,(($J4-21)*Schedule!$D$15*'Import - recap'!$D4))))),IF(B4="Company 1",IF($E4=20,IF(AND($J4&gt;12,$J4&lt;=21),($J4-12)*Schedule!$C$16*'Import - recap'!$D4,IF($J4&gt;21,9*Schedule!$C$16*'Import - recap'!$D4)+(IF($J4&gt;21,(($J4-21)*Schedule!$C$17*'Import - recap'!$D4)))),IF(AND($J4&gt;12,$J4&lt;=21),($J4-12)*Schedule!$D$16*'Import - recap'!$D4,IF($J4&gt;21,9*Schedule!$D$16*'Import - recap'!$D4)+(IF($J4&gt;21,(($J4-21)*Schedule!$D$17*'Import - recap'!$D4))))),IF(B4="Company 2",IF($E4=20,IF(AND($J4&gt;12,$J4&lt;=21),($J4-12)*Schedule!$C$18*'Import - recap'!$D4,IF($J4&gt;21,9*Schedule!$C$18*'Import - recap'!$D4)+(IF($J4&gt;21,(($J4-21)*Schedule!$C$19*'Import - recap'!$D4)))),IF(AND($J4&gt;12,$J4&lt;=21),($J4-12)*Schedule!$D$18*'Import - recap'!$D4,IF($J4&gt;21,9*Schedule!$D$18*'Import - recap'!$D4)+(IF($J4&gt;21,(($J4-21)*Schedule!$D$19*'Import - recap'!$D4)))))))),IF($G4="arrivé a l'usine non payé",IF(B4="SK",IF($E4=20,IF(AND($J4&gt;12,$J4&lt;=21),($J4-12)*Schedule!$C$14*'Import - recap'!$D4,IF($J4&gt;21,9*Schedule!$C$14*'Import - recap'!$D4)+(IF($J4&gt;21,(($J4-21)*Schedule!$C$15*'Import - recap'!$D4)))),IF(AND($J4&gt;12,$J4&lt;=21),($J4-12)*Schedule!$D$14*'Import - recap'!$D4,IF($J4&gt;21,9*Schedule!$D$14*'Import - recap'!$D4)+(IF($J4&gt;21,(($J4-21)*Schedule!$D$15*'Import - recap'!$D4))))),IF(B4="Company 1",IF($E4=20,IF(AND($J4&gt;12,$J4&lt;=21),($J4-12)*Schedule!$C$16*'Import - recap'!$D4,IF($J4&gt;21,9*Schedule!$C$16*'Import - recap'!$D4)+(IF($J4&gt;21,(($J4-21)*Schedule!$C$17*'Import - recap'!$D4)))),IF(AND($J4&gt;12,$J4&lt;=21),($J4-12)*Schedule!$D$16*'Import - recap'!$D4,IF($J4&gt;21,9*Schedule!$D$16*'Import - recap'!$D4)+(IF($J4&gt;21,(($J4-21)*Schedule!$D$17*'Import - recap'!$D4))))),IF(B4="Company 2",IF($E4=20,IF(AND($J4&gt;12,$J4&lt;=21),($J4-12)*Schedule!$C$18*'Import - recap'!$D4,IF($J4&gt;21,9*Schedule!$C$18*'Import - recap'!$D4)+(IF($J4&gt;21,(($J4-21)*Schedule!$C$19*'Import - recap'!$D4)))),IF(AND($J4&gt;12,$J4&lt;=21),($J4-12)*Schedule!$D$18*'Import - recap'!$D4,IF($J4&gt;21,9*Schedule!$D$18*'Import - recap'!$D4)+(IF($J4&gt;21,(($J4-21)*Schedule!$D$19*'Import - recap'!$D4)))))))))),SUMIFS('Import Record Details'!$O:$O,'Import Record Details'!$A:$A,'Import - recap'!$A4,'Import Record Details'!$F:$F,'Import - recap'!$AZ$3))</f>
        <v>0</v>
      </c>
      <c r="BA4" s="17">
        <f t="shared" ref="BA4:BA5" si="17">IFERROR(AY4/T4,"")</f>
        <v>54.207500000000003</v>
      </c>
      <c r="BB4" s="17">
        <f t="shared" ref="BB4:BB5" ca="1" si="18">+Z4+AZ4</f>
        <v>3300</v>
      </c>
      <c r="BC4" s="57">
        <f t="shared" ref="BC4:BC5" ca="1" si="19">IF(AY4=0,BB4/AJ4,BB4/AY4)</f>
        <v>3.0438592445694784E-2</v>
      </c>
    </row>
    <row r="5" spans="1:55" ht="29.25" customHeight="1" x14ac:dyDescent="0.25">
      <c r="A5" s="3"/>
      <c r="B5" s="3"/>
      <c r="C5" s="3"/>
      <c r="D5" s="3"/>
      <c r="E5" s="3"/>
      <c r="F5" s="40"/>
      <c r="G5" s="52"/>
      <c r="H5" s="20"/>
      <c r="I5" s="20"/>
      <c r="J5" s="31">
        <f t="shared" ref="J5" ca="1" si="20">IF(O5&lt;&gt;"",O5-I5,TODAY()-I5)</f>
        <v>45980</v>
      </c>
      <c r="K5" s="31"/>
      <c r="L5" s="19"/>
      <c r="M5" s="10"/>
      <c r="N5" s="11"/>
      <c r="O5" s="20"/>
      <c r="P5" s="12"/>
      <c r="Q5" s="21"/>
      <c r="R5" s="13"/>
      <c r="S5" s="3"/>
      <c r="T5" s="77"/>
      <c r="U5" s="18">
        <f>+SUMIFS('Import Record Details'!$M:$M,'Import Record Details'!$A:$A,'Import - recap'!$A5)</f>
        <v>0</v>
      </c>
      <c r="V5" s="14" t="e">
        <f t="shared" ref="V5" si="21">+W5/T5</f>
        <v>#DIV/0!</v>
      </c>
      <c r="W5" s="14"/>
      <c r="X5" s="14" t="str">
        <f t="shared" si="1"/>
        <v/>
      </c>
      <c r="Y5" s="49" t="b">
        <f>IF($G5="Arrived at Port",IF($E5&lt;&gt;"",IF($E5=20,IF($J5&lt;2,0,IF($J5&lt;=7,(($J5-2)*Schedule!$C$3*$D5),5*Schedule!$C$3*$D5))+IF(AND($J5&gt;7,$J5&lt;=15),($J5-7)*Schedule!$C$4*$D5,IF($J5&gt;15,8*Schedule!$C$4*$D5))+(IF($J5&gt;15,(($J5-15)*Schedule!$C$5*'Import - recap'!$D5),0))+IF($J5&lt;=5,(($J5-0)*Schedule!$C$6*'Import - recap'!$D5),5*Schedule!$C$6*'Import - recap'!$D5)+IF(AND($J5&gt;5,$J5&lt;=10),($J5-5)*Schedule!$C$7*'Import - recap'!$D5,IF($J5&gt;10,5*Schedule!$C$7*'Import - recap'!$D5)+IF(AND($J5&gt;10,$J5&lt;=15),($J5-10)*Schedule!$C$8*'Import - recap'!$D5,IF($J5&gt;15,5*Schedule!$C$8*'Import - recap'!$D5)+IF(AND($J5&gt;15,$J5&lt;=45),($J5-15)*Schedule!$C$9*'Import - recap'!$D5,IF($J5&gt;45,30*Schedule!$C$9*'Import - recap'!$D5)+(IF($J5&gt;45,(($J5-45)*Schedule!$C$9*'Import - recap'!$D5))))))+($J5*$D5*Schedule!$C$2),IF($J5&lt;2,0,IF($J5&lt;=7,(($J5-2)*Schedule!$D$3*$D5),5*Schedule!$D$3*$D5))+IF(AND($J5&gt;7,$J5&lt;=15),($J5-7)*Schedule!$D$4*$D5,IF($J5&gt;15,8*Schedule!$D$4*$D5))+(IF($J5&gt;15,(($J5-15)*Schedule!$D$5*'Import - recap'!$D5),0))+IF($J5&lt;=5,(($J5-0)*Schedule!$D$6*'Import - recap'!$D5),5*Schedule!$D$6*'Import - recap'!$D5)+IF(AND($J5&gt;5,$J5&lt;=10),($J5-5)*Schedule!$D$7*'Import - recap'!$D5,IF($J5&gt;10,5*Schedule!$D$7*'Import - recap'!$D5)+IF(AND($J5&gt;10,$J5&lt;=15),($J5-10)*Schedule!$D$8*'Import - recap'!$D5,IF($J5&gt;15,5*Schedule!$D$8*'Import - recap'!$D5)+IF(AND($J5&gt;15,$J5&lt;=45),($J5-15)*Schedule!$D$9*'Import - recap'!$D5,IF($J5&gt;45,30*Schedule!$D$9*'Import - recap'!$D5)+(IF($J5&gt;45,(($J5-45)*Schedule!$D$9*'Import - recap'!$D5))))))+($J5*$D5*Schedule!$D$2)),"erreur"),IF($G5="Paid, Not Yet Arrived at Factory",IF($E5&lt;&gt;"",IF($E5=20,IF($J5&lt;2,0,IF($J5&lt;=7,(($J5-2)*Schedule!$C$3*$D5),5*Schedule!$C$3*$D5))+IF(AND($J5&gt;7,$J5&lt;=15),($J5-7)*Schedule!$C$4*$D5,IF($J5&gt;15,8*Schedule!$C$4*$D5))+(IF($J5&gt;15,(($J5-15)*Schedule!$C$5*'Import - recap'!$D5),0))+IF($J5&lt;=5,(($J5-0)*Schedule!$C$6*'Import - recap'!$D5),5*Schedule!$C$6*'Import - recap'!$D5)+IF(AND($J5&gt;5,$J5&lt;=10),($J5-5)*Schedule!$C$7*'Import - recap'!$D5,IF($J5&gt;10,5*Schedule!$C$7*'Import - recap'!$D5)+IF(AND($J5&gt;10,$J5&lt;=15),($J5-10)*Schedule!$C$8*'Import - recap'!$D5,IF($J5&gt;15,5*Schedule!$C$8*'Import - recap'!$D5)+IF(AND($J5&gt;15,$J5&lt;=45),($J5-15)*Schedule!$C$9*'Import - recap'!$D5,IF($J5&gt;45,30*Schedule!$C$9*'Import - recap'!$D5)+(IF($J5&gt;45,(($J5-45)*Schedule!$C$9*'Import - recap'!$D5))))))+($J5*$D5*Schedule!$C$2),IF($J5&lt;2,0,IF($J5&lt;=7,(($J5-2)*Schedule!$D$3*$D5),5*Schedule!$D$3*$D5))+IF(AND($J5&gt;7,$J5&lt;=15),($J5-7)*Schedule!$D$4*$D5,IF($J5&gt;15,8*Schedule!$D$4*$D5))+(IF($J5&gt;15,(($J5-15)*Schedule!$D$5*'Import - recap'!$D5),0))+IF($J5&lt;=5,(($J5-0)*Schedule!$D$6*'Import - recap'!$D5),5*Schedule!$D$6*'Import - recap'!$D5)+IF(AND($J5&gt;5,$J5&lt;=10),($J5-5)*Schedule!$D$7*'Import - recap'!$D5,IF($J5&gt;10,5*Schedule!$D$7*'Import - recap'!$D5)+IF(AND($J5&gt;10,$J5&lt;=15),($J5-10)*Schedule!$D$8*'Import - recap'!$D5,IF($J5&gt;15,5*Schedule!$D$8*'Import - recap'!$D5)+IF(AND($J5&gt;15,$J5&lt;=45),($J5-15)*Schedule!$D$9*'Import - recap'!$D5,IF($J5&gt;45,30*Schedule!$D$9*'Import - recap'!$D5)+(IF($J5&gt;45,(($J5-45)*Schedule!$D$9*'Import - recap'!$D5))))))+($J5*$D5*Schedule!$D$2)),"erreur")))</f>
        <v>0</v>
      </c>
      <c r="Z5" s="41" t="b">
        <f>IF($G5="Arrived at Port",IF(B5="SK",IF($E5=20,IF(AND($J5&gt;12,$J5&lt;=21),($J5-12)*Schedule!$C$14*'Import - recap'!$D5,IF($J5&gt;21,9*Schedule!$C$14*'Import - recap'!$D5)+(IF($J5&gt;21,(($J5-21)*Schedule!$C$15*'Import - recap'!$D5)))),IF(AND($J5&gt;12,$J5&lt;=21),($J5-12)*Schedule!$D$14*'Import - recap'!$D5,IF($J5&gt;21,9*Schedule!$D$14*'Import - recap'!$D5)+(IF($J5&gt;21,(($J5-21)*Schedule!$D$15*'Import - recap'!$D5))))),IF(B5="Company 1",IF($E5=20,IF(AND($J5&gt;12,$J5&lt;=21),($J5-12)*Schedule!$C$16*'Import - recap'!$D5,IF($J5&gt;21,9*Schedule!$C$16*'Import - recap'!$D5)+(IF($J5&gt;21,(($J5-21)*Schedule!$C$17*'Import - recap'!$D5)))),IF(AND($J5&gt;12,$J5&lt;=21),($J5-12)*Schedule!$D$16*'Import - recap'!$D5,IF($J5&gt;21,9*Schedule!$D$16*'Import - recap'!$D5)+(IF($J5&gt;21,(($J5-21)*Schedule!$D$17*'Import - recap'!$D5))))),IF(B5="Company 2",IF($E5=20,IF(AND($J5&gt;12,$J5&lt;=21),($J5-12)*Schedule!$C$18*'Import - recap'!$D5,IF($J5&gt;21,9*Schedule!$C$18*'Import - recap'!$D5)+(IF($J5&gt;21,(($J5-21)*Schedule!$C$19*'Import - recap'!$D5)))),IF(AND($J5&gt;12,$J5&lt;=21),($J5-12)*Schedule!$D$18*'Import - recap'!$D5,IF($J5&gt;21,9*Schedule!$D$18*'Import - recap'!$D5)+(IF($J5&gt;21,(($J5-21)*Schedule!$D$19*'Import - recap'!$D5)))))))),IF($G5="Paid, Not Yet Arrived at Factory",IF(B5="SK",IF($E5=20,IF(AND($J5&gt;12,$J5&lt;=21),($J5-12)*Schedule!$C$14*'Import - recap'!$D5,IF($J5&gt;21,9*Schedule!$C$14*'Import - recap'!$D5)+(IF($J5&gt;21,(($J5-21)*Schedule!$C$15*'Import - recap'!$D5)))),IF(AND($J5&gt;12,$J5&lt;=21),($J5-12)*Schedule!$D$14*'Import - recap'!$D5,IF($J5&gt;21,9*Schedule!$D$14*'Import - recap'!$D5)+(IF($J5&gt;21,(($J5-21)*Schedule!$D$15*'Import - recap'!$D5))))),IF(B5="Company 1",IF($E5=20,IF(AND($J5&gt;12,$J5&lt;=21),($J5-12)*Schedule!$C$16*'Import - recap'!$D5,IF($J5&gt;21,9*Schedule!$C$16*'Import - recap'!$D5)+(IF($J5&gt;21,(($J5-21)*Schedule!$C$17*'Import - recap'!$D5)))),IF(AND($J5&gt;12,$J5&lt;=21),($J5-12)*Schedule!$D$16*'Import - recap'!$D5,IF($J5&gt;21,9*Schedule!$D$16*'Import - recap'!$D5)+(IF($J5&gt;21,(($J5-21)*Schedule!$D$17*'Import - recap'!$D5))))),IF(B5="Company 2",IF($E5=20,IF(AND($J5&gt;12,$J5&lt;=21),($J5-12)*Schedule!$C$18*'Import - recap'!$D5,IF($J5&gt;21,9*Schedule!$C$18*'Import - recap'!$D5)+(IF($J5&gt;21,(($J5-21)*Schedule!$C$19*'Import - recap'!$D5)))),IF(AND($J5&gt;12,$J5&lt;=21),($J5-12)*Schedule!$D$18*'Import - recap'!$D5,IF($J5&gt;21,9*Schedule!$D$18*'Import - recap'!$D5)+(IF($J5&gt;21,(($J5-21)*Schedule!$D$19*'Import - recap'!$D5))))))))))</f>
        <v>0</v>
      </c>
      <c r="AA5" s="14" t="str">
        <f t="shared" si="2"/>
        <v>0</v>
      </c>
      <c r="AB5" s="14" t="str">
        <f t="shared" ref="AB4:AB17" si="22">(IFERROR(IF(AND($G5="Arrived at Port",$S5="FP"),$D5*200,IF(AND($G5="arrivé a l'usine non payé",$S5="FP"),$D5*200,IF(AND($G5="Paid, Not Yet Arrived at Factory",$S5="FP"),$D5*200,IF(AND($G5="Arrived at Port",$S5="GM"),$D5*200,IF(AND($G5="arrivé a l'usine non payé",$S5="GM"),$D5*200,IF(AND($G5="Paid, Not Yet Arrived at Factory",$S5="GM"),$D5*200,IF(AND($G5="Arrived at Port",$S5="DDGS"),$D5*200,IF(AND($G5="arrivé a l'usine non payé",$S5="DDGS"),$D5*200,IF(AND($G5="Paid, Not Yet Arrived at Factory",$S5="DDGS"),$D5*200,D5*100)))))+IF($G5="Arrived at Port","19",IF($G5="arrivé a l'usine non payé","19",IF($G5="Paid, Not Yet Arrived at Factory","19",""))))))),""))</f>
        <v/>
      </c>
      <c r="AC5" s="14" t="str">
        <f t="shared" si="3"/>
        <v/>
      </c>
      <c r="AD5" s="14" t="str">
        <f t="shared" si="4"/>
        <v/>
      </c>
      <c r="AE5" s="14" t="str">
        <f t="shared" si="5"/>
        <v/>
      </c>
      <c r="AF5" s="14" t="str">
        <f t="shared" si="6"/>
        <v/>
      </c>
      <c r="AG5" s="70" t="str">
        <f t="shared" si="7"/>
        <v/>
      </c>
      <c r="AH5" s="70" t="str">
        <f t="shared" si="8"/>
        <v/>
      </c>
      <c r="AI5" s="72" t="str">
        <f t="shared" si="9"/>
        <v/>
      </c>
      <c r="AJ5" s="34" t="str">
        <f t="shared" si="10"/>
        <v/>
      </c>
      <c r="AK5" s="34" t="str">
        <f t="shared" si="11"/>
        <v/>
      </c>
      <c r="AL5" s="54" t="str">
        <f t="shared" si="12"/>
        <v/>
      </c>
      <c r="AM5" s="49" t="b">
        <f>IF($G5="Arrived at Port",IF($E5&lt;&gt;"",IF($E5=20,IF($J5&lt;2,0,IF($J5&lt;=7,(($J5-2)*Schedule!$C$3*$D5),5*Schedule!$C$3*$D5))+IF(AND($J5&gt;7,$J5&lt;=15),($J5-7)*Schedule!$C$4*$D5,IF($J5&gt;15,8*Schedule!$C$4*$D5))+(IF($J5&gt;15,(($J5-15)*Schedule!$C$5*'Import - recap'!$D5),0))+IF($J5&lt;=5,(($J5-0)*Schedule!$C$6*'Import - recap'!$D5),5*Schedule!$C$6*'Import - recap'!$D5)+IF(AND($J5&gt;5,$J5&lt;=10),($J5-5)*Schedule!$C$7*'Import - recap'!$D5,IF($J5&gt;10,5*Schedule!$C$7*'Import - recap'!$D5)+IF(AND($J5&gt;10,$J5&lt;=15),($J5-10)*Schedule!$C$8*'Import - recap'!$D5,IF($J5&gt;15,5*Schedule!$C$8*'Import - recap'!$D5)+IF(AND($J5&gt;15,$J5&lt;=45),($J5-15)*Schedule!$C$9*'Import - recap'!$D5,IF($J5&gt;45,30*Schedule!$C$9*'Import - recap'!$D5)+(IF($J5&gt;45,(($J5-45)*Schedule!$C$9*'Import - recap'!$D5))))))+($J5*$D5*Schedule!$C$2),IF($J5&lt;2,0,IF($J5&lt;=7,(($J5-2)*Schedule!$D$3*$D5),5*Schedule!$D$3*$D5))+IF(AND($J5&gt;7,$J5&lt;=15),($J5-7)*Schedule!$D$4*$D5,IF($J5&gt;15,8*Schedule!$D$4*$D5))+(IF($J5&gt;15,(($J5-15)*Schedule!$D$5*'Import - recap'!$D5),0))+IF($J5&lt;=5,(($J5-0)*Schedule!$D$6*'Import - recap'!$D5),5*Schedule!$D$6*'Import - recap'!$D5)+IF(AND($J5&gt;5,$J5&lt;=10),($J5-5)*Schedule!$D$7*'Import - recap'!$D5,IF($J5&gt;10,5*Schedule!$D$7*'Import - recap'!$D5)+IF(AND($J5&gt;10,$J5&lt;=15),($J5-10)*Schedule!$D$8*'Import - recap'!$D5,IF($J5&gt;15,5*Schedule!$D$8*'Import - recap'!$D5)+IF(AND($J5&gt;15,$J5&lt;=45),($J5-15)*Schedule!$D$9*'Import - recap'!$D5,IF($J5&gt;45,30*Schedule!$D$9*'Import - recap'!$D5)+(IF($J5&gt;45,(($J5-45)*Schedule!$D$9*'Import - recap'!$D5))))))+($J5*$D5*Schedule!$D$2)),"erreur"),IF($G5="Paid, Not Yet Arrived at Factory",IF($E5&lt;&gt;"",IF($E5=20,IF($J5&lt;2,0,IF($J5&lt;=7,(($J5-2)*Schedule!$C$3*$D5),5*Schedule!$C$3*$D5))+IF(AND($J5&gt;7,$J5&lt;=15),($J5-7)*Schedule!$C$4*$D5,IF($J5&gt;15,8*Schedule!$C$4*$D5))+(IF($J5&gt;15,(($J5-15)*Schedule!$C$5*'Import - recap'!$D5),0))+IF($J5&lt;=5,(($J5-0)*Schedule!$C$6*'Import - recap'!$D5),5*Schedule!$C$6*'Import - recap'!$D5)+IF(AND($J5&gt;5,$J5&lt;=10),($J5-5)*Schedule!$C$7*'Import - recap'!$D5,IF($J5&gt;10,5*Schedule!$C$7*'Import - recap'!$D5)+IF(AND($J5&gt;10,$J5&lt;=15),($J5-10)*Schedule!$C$8*'Import - recap'!$D5,IF($J5&gt;15,5*Schedule!$C$8*'Import - recap'!$D5)+IF(AND($J5&gt;15,$J5&lt;=45),($J5-15)*Schedule!$C$9*'Import - recap'!$D5,IF($J5&gt;45,30*Schedule!$C$9*'Import - recap'!$D5)+(IF($J5&gt;45,(($J5-45)*Schedule!$C$9*'Import - recap'!$D5))))))+($J5*$D5*Schedule!$C$2),IF($J5&lt;2,0,IF($J5&lt;=7,(($J5-2)*Schedule!$D$3*$D5),5*Schedule!$D$3*$D5))+IF(AND($J5&gt;7,$J5&lt;=15),($J5-7)*Schedule!$D$4*$D5,IF($J5&gt;15,8*Schedule!$D$4*$D5))+(IF($J5&gt;15,(($J5-15)*Schedule!$D$5*'Import - recap'!$D5),0))+IF($J5&lt;=5,(($J5-0)*Schedule!$D$6*'Import - recap'!$D5),5*Schedule!$D$6*'Import - recap'!$D5)+IF(AND($J5&gt;5,$J5&lt;=10),($J5-5)*Schedule!$D$7*'Import - recap'!$D5,IF($J5&gt;10,5*Schedule!$D$7*'Import - recap'!$D5)+IF(AND($J5&gt;10,$J5&lt;=15),($J5-10)*Schedule!$D$8*'Import - recap'!$D5,IF($J5&gt;15,5*Schedule!$D$8*'Import - recap'!$D5)+IF(AND($J5&gt;15,$J5&lt;=45),($J5-15)*Schedule!$D$9*'Import - recap'!$D5,IF($J5&gt;45,30*Schedule!$D$9*'Import - recap'!$D5)+(IF($J5&gt;45,(($J5-45)*Schedule!$D$9*'Import - recap'!$D5))))))+($J5*$D5*Schedule!$D$2)),"erreur")))</f>
        <v>0</v>
      </c>
      <c r="AN5" s="14" t="str">
        <f t="shared" si="13"/>
        <v>0</v>
      </c>
      <c r="AO5" s="14"/>
      <c r="AP5" s="14" t="str">
        <f>IF(SUMIFS('Import Record Details'!$O:$O,'Import Record Details'!$F:$F,'Import - recap'!$AP$3,'Import Record Details'!$A:$A,'Import - recap'!$A5)=0,IF($G5="Arrived at Port",$X5*0.04%,IF($G5="arrivé a l'usine non payé",$X5*0.04%,IF($G5="Paid, Not Yet Arrived at Factory",$X5*0.04%,""))),SUMIFS('Import Record Details'!$O:$O,'Import Record Details'!$F:$F,'Import - recap'!$AP$3,'Import Record Details'!$A:$A,'Import - recap'!$A5))</f>
        <v/>
      </c>
      <c r="AQ5" s="14" t="str">
        <f>IF(SUMIFS('Import Record Details'!$O:$O,'Import Record Details'!$F:$F,'Import - recap'!$AQ$3,'Import Record Details'!$A:$A,'Import - recap'!$A5)=0,IF($G5="Arrived at Port",$D5*650,IF($G5="arrivé a l'usine non payé",$D5*650,IF($G5="Paid, Not Yet Arrived at Factory",$D5*650,""))),SUMIFS('Import Record Details'!$O:$O,'Import Record Details'!$F:$F,'Import - recap'!$AQ$3,'Import Record Details'!$A:$A,'Import - recap'!$A5))</f>
        <v/>
      </c>
      <c r="AR5" s="14" t="str">
        <f>IF(SUMIFS('Import Record Details'!$O:$O,'Import Record Details'!$F:$F,'Import - recap'!$AR$3,'Import Record Details'!$A:$A,'Import - recap'!$A5)=0,IF($G5="Arrived at Port",$X5*0.2%,IF($G5="arrivé a l'usine non payé",$X5*0.2%,IF($G5="Paid, Not Yet Arrived at Factory",$X5*0.2%,""))),SUMIFS('Import Record Details'!$O:$O,'Import Record Details'!$F:$F,'Import - recap'!$AR$3,'Import Record Details'!$A:$A,'Import - recap'!$A5))</f>
        <v/>
      </c>
      <c r="AS5" s="14" t="str">
        <f>IF(SUMIFS('Import Record Details'!$O:$O,'Import Record Details'!$F:$F,'Import - recap'!$AS$3,'Import Record Details'!$A:$A,'Import - recap'!$A5)=0,IF($G5="Arrived at Port",$X5*0.06%,IF($G5="arrivé a l'usine non payé",$X5*0.06%,IF($G5="Paid, Not Yet Arrived at Factory",$X5*0.06%,""))),SUMIFS('Import Record Details'!$O:$O,'Import Record Details'!$F:$F,'Import - recap'!$AS$3,'Import Record Details'!$A:$A,'Import - recap'!$A5))</f>
        <v/>
      </c>
      <c r="AT5" s="54"/>
      <c r="AU5" s="72" t="str">
        <f t="shared" si="14"/>
        <v/>
      </c>
      <c r="AV5" s="15">
        <f t="shared" ref="AV5" si="23">AY5-AZ5</f>
        <v>0</v>
      </c>
      <c r="AW5" s="15" t="str">
        <f t="shared" si="15"/>
        <v/>
      </c>
      <c r="AX5" s="76" t="b">
        <f t="shared" si="16"/>
        <v>0</v>
      </c>
      <c r="AY5" s="17">
        <f>SUMIFS('Import Record Details'!$O:$O,'Import Record Details'!$A:$A,'Import - recap'!$A5)</f>
        <v>0</v>
      </c>
      <c r="AZ5" s="16" t="b">
        <f>IF((+SUMIFS('Import Record Details'!$O:$O,'Import Record Details'!$A:$A,'Import - recap'!$A5,'Import Record Details'!$F:$F,'Import - recap'!$AZ$3)=0),IF($G5="cloturé",IF(B5="SK",IF($E5=20,IF(AND($J5&gt;12,$J5&lt;=21),($J5-12)*Schedule!$C$14*'Import - recap'!$D5,IF($J5&gt;21,9*Schedule!$C$14*'Import - recap'!$D5)+(IF($J5&gt;21,(($J5-21)*Schedule!$C$15*'Import - recap'!$D5)))),IF(AND($J5&gt;12,$J5&lt;=21),($J5-12)*Schedule!$D$14*'Import - recap'!$D5,IF($J5&gt;21,9*Schedule!$D$14*'Import - recap'!$D5)+(IF($J5&gt;21,(($J5-21)*Schedule!$D$15*'Import - recap'!$D5))))),IF(B5="Company 1",IF($E5=20,IF(AND($J5&gt;12,$J5&lt;=21),($J5-12)*Schedule!$C$16*'Import - recap'!$D5,IF($J5&gt;21,9*Schedule!$C$16*'Import - recap'!$D5)+(IF($J5&gt;21,(($J5-21)*Schedule!$C$17*'Import - recap'!$D5)))),IF(AND($J5&gt;12,$J5&lt;=21),($J5-12)*Schedule!$D$16*'Import - recap'!$D5,IF($J5&gt;21,9*Schedule!$D$16*'Import - recap'!$D5)+(IF($J5&gt;21,(($J5-21)*Schedule!$D$17*'Import - recap'!$D5))))),IF(B5="Company 2",IF($E5=20,IF(AND($J5&gt;12,$J5&lt;=21),($J5-12)*Schedule!$C$18*'Import - recap'!$D5,IF($J5&gt;21,9*Schedule!$C$18*'Import - recap'!$D5)+(IF($J5&gt;21,(($J5-21)*Schedule!$C$19*'Import - recap'!$D5)))),IF(AND($J5&gt;12,$J5&lt;=21),($J5-12)*Schedule!$D$18*'Import - recap'!$D5,IF($J5&gt;21,9*Schedule!$D$18*'Import - recap'!$D5)+(IF($J5&gt;21,(($J5-21)*Schedule!$D$19*'Import - recap'!$D5)))))))),IF($G5="arrivé a l'usine non payé",IF(B5="SK",IF($E5=20,IF(AND($J5&gt;12,$J5&lt;=21),($J5-12)*Schedule!$C$14*'Import - recap'!$D5,IF($J5&gt;21,9*Schedule!$C$14*'Import - recap'!$D5)+(IF($J5&gt;21,(($J5-21)*Schedule!$C$15*'Import - recap'!$D5)))),IF(AND($J5&gt;12,$J5&lt;=21),($J5-12)*Schedule!$D$14*'Import - recap'!$D5,IF($J5&gt;21,9*Schedule!$D$14*'Import - recap'!$D5)+(IF($J5&gt;21,(($J5-21)*Schedule!$D$15*'Import - recap'!$D5))))),IF(B5="Company 1",IF($E5=20,IF(AND($J5&gt;12,$J5&lt;=21),($J5-12)*Schedule!$C$16*'Import - recap'!$D5,IF($J5&gt;21,9*Schedule!$C$16*'Import - recap'!$D5)+(IF($J5&gt;21,(($J5-21)*Schedule!$C$17*'Import - recap'!$D5)))),IF(AND($J5&gt;12,$J5&lt;=21),($J5-12)*Schedule!$D$16*'Import - recap'!$D5,IF($J5&gt;21,9*Schedule!$D$16*'Import - recap'!$D5)+(IF($J5&gt;21,(($J5-21)*Schedule!$D$17*'Import - recap'!$D5))))),IF(B5="Company 2",IF($E5=20,IF(AND($J5&gt;12,$J5&lt;=21),($J5-12)*Schedule!$C$18*'Import - recap'!$D5,IF($J5&gt;21,9*Schedule!$C$18*'Import - recap'!$D5)+(IF($J5&gt;21,(($J5-21)*Schedule!$C$19*'Import - recap'!$D5)))),IF(AND($J5&gt;12,$J5&lt;=21),($J5-12)*Schedule!$D$18*'Import - recap'!$D5,IF($J5&gt;21,9*Schedule!$D$18*'Import - recap'!$D5)+(IF($J5&gt;21,(($J5-21)*Schedule!$D$19*'Import - recap'!$D5)))))))))),SUMIFS('Import Record Details'!$O:$O,'Import Record Details'!$A:$A,'Import - recap'!$A5,'Import Record Details'!$F:$F,'Import - recap'!$AZ$3))</f>
        <v>0</v>
      </c>
      <c r="BA5" s="17" t="str">
        <f t="shared" si="17"/>
        <v/>
      </c>
      <c r="BB5" s="17">
        <f t="shared" si="18"/>
        <v>0</v>
      </c>
      <c r="BC5" s="57" t="e">
        <f t="shared" si="19"/>
        <v>#VALUE!</v>
      </c>
    </row>
    <row r="6" spans="1:55" ht="25.5" customHeight="1" x14ac:dyDescent="0.25">
      <c r="A6" s="3"/>
      <c r="B6" s="3"/>
      <c r="C6" s="3"/>
      <c r="D6" s="3"/>
      <c r="E6" s="3"/>
      <c r="F6" s="40"/>
      <c r="G6" s="52"/>
      <c r="H6" s="20"/>
      <c r="I6" s="20"/>
      <c r="J6" s="31">
        <f t="shared" ref="J6:J17" ca="1" si="24">IF(O6&lt;&gt;"",O6-I6,TODAY()-I6)</f>
        <v>45980</v>
      </c>
      <c r="K6" s="31"/>
      <c r="L6" s="19"/>
      <c r="M6" s="10"/>
      <c r="N6" s="11"/>
      <c r="O6" s="20"/>
      <c r="P6" s="12"/>
      <c r="Q6" s="21"/>
      <c r="R6" s="13"/>
      <c r="S6" s="3"/>
      <c r="T6" s="77"/>
      <c r="U6" s="18">
        <f>+SUMIFS('Import Record Details'!$M:$M,'Import Record Details'!$A:$A,'Import - recap'!$A6)</f>
        <v>0</v>
      </c>
      <c r="V6" s="14" t="e">
        <f t="shared" ref="V6:V17" si="25">+W6/T6</f>
        <v>#DIV/0!</v>
      </c>
      <c r="W6" s="14"/>
      <c r="X6" s="14" t="str">
        <f t="shared" si="1"/>
        <v/>
      </c>
      <c r="Y6" s="49" t="b">
        <f>IF($G6="Arrived at Port",IF($E6&lt;&gt;"",IF($E6=20,IF($J6&lt;2,0,IF($J6&lt;=7,(($J6-2)*Schedule!$C$3*$D6),5*Schedule!$C$3*$D6))+IF(AND($J6&gt;7,$J6&lt;=15),($J6-7)*Schedule!$C$4*$D6,IF($J6&gt;15,8*Schedule!$C$4*$D6))+(IF($J6&gt;15,(($J6-15)*Schedule!$C$5*'Import - recap'!$D6),0))+IF($J6&lt;=5,(($J6-0)*Schedule!$C$6*'Import - recap'!$D6),5*Schedule!$C$6*'Import - recap'!$D6)+IF(AND($J6&gt;5,$J6&lt;=10),($J6-5)*Schedule!$C$7*'Import - recap'!$D6,IF($J6&gt;10,5*Schedule!$C$7*'Import - recap'!$D6)+IF(AND($J6&gt;10,$J6&lt;=15),($J6-10)*Schedule!$C$8*'Import - recap'!$D6,IF($J6&gt;15,5*Schedule!$C$8*'Import - recap'!$D6)+IF(AND($J6&gt;15,$J6&lt;=45),($J6-15)*Schedule!$C$9*'Import - recap'!$D6,IF($J6&gt;45,30*Schedule!$C$9*'Import - recap'!$D6)+(IF($J6&gt;45,(($J6-45)*Schedule!$C$9*'Import - recap'!$D6))))))+($J6*$D6*Schedule!$C$2),IF($J6&lt;2,0,IF($J6&lt;=7,(($J6-2)*Schedule!$D$3*$D6),5*Schedule!$D$3*$D6))+IF(AND($J6&gt;7,$J6&lt;=15),($J6-7)*Schedule!$D$4*$D6,IF($J6&gt;15,8*Schedule!$D$4*$D6))+(IF($J6&gt;15,(($J6-15)*Schedule!$D$5*'Import - recap'!$D6),0))+IF($J6&lt;=5,(($J6-0)*Schedule!$D$6*'Import - recap'!$D6),5*Schedule!$D$6*'Import - recap'!$D6)+IF(AND($J6&gt;5,$J6&lt;=10),($J6-5)*Schedule!$D$7*'Import - recap'!$D6,IF($J6&gt;10,5*Schedule!$D$7*'Import - recap'!$D6)+IF(AND($J6&gt;10,$J6&lt;=15),($J6-10)*Schedule!$D$8*'Import - recap'!$D6,IF($J6&gt;15,5*Schedule!$D$8*'Import - recap'!$D6)+IF(AND($J6&gt;15,$J6&lt;=45),($J6-15)*Schedule!$D$9*'Import - recap'!$D6,IF($J6&gt;45,30*Schedule!$D$9*'Import - recap'!$D6)+(IF($J6&gt;45,(($J6-45)*Schedule!$D$9*'Import - recap'!$D6))))))+($J6*$D6*Schedule!$D$2)),"erreur"),IF($G6="Paid, Not Yet Arrived at Factory",IF($E6&lt;&gt;"",IF($E6=20,IF($J6&lt;2,0,IF($J6&lt;=7,(($J6-2)*Schedule!$C$3*$D6),5*Schedule!$C$3*$D6))+IF(AND($J6&gt;7,$J6&lt;=15),($J6-7)*Schedule!$C$4*$D6,IF($J6&gt;15,8*Schedule!$C$4*$D6))+(IF($J6&gt;15,(($J6-15)*Schedule!$C$5*'Import - recap'!$D6),0))+IF($J6&lt;=5,(($J6-0)*Schedule!$C$6*'Import - recap'!$D6),5*Schedule!$C$6*'Import - recap'!$D6)+IF(AND($J6&gt;5,$J6&lt;=10),($J6-5)*Schedule!$C$7*'Import - recap'!$D6,IF($J6&gt;10,5*Schedule!$C$7*'Import - recap'!$D6)+IF(AND($J6&gt;10,$J6&lt;=15),($J6-10)*Schedule!$C$8*'Import - recap'!$D6,IF($J6&gt;15,5*Schedule!$C$8*'Import - recap'!$D6)+IF(AND($J6&gt;15,$J6&lt;=45),($J6-15)*Schedule!$C$9*'Import - recap'!$D6,IF($J6&gt;45,30*Schedule!$C$9*'Import - recap'!$D6)+(IF($J6&gt;45,(($J6-45)*Schedule!$C$9*'Import - recap'!$D6))))))+($J6*$D6*Schedule!$C$2),IF($J6&lt;2,0,IF($J6&lt;=7,(($J6-2)*Schedule!$D$3*$D6),5*Schedule!$D$3*$D6))+IF(AND($J6&gt;7,$J6&lt;=15),($J6-7)*Schedule!$D$4*$D6,IF($J6&gt;15,8*Schedule!$D$4*$D6))+(IF($J6&gt;15,(($J6-15)*Schedule!$D$5*'Import - recap'!$D6),0))+IF($J6&lt;=5,(($J6-0)*Schedule!$D$6*'Import - recap'!$D6),5*Schedule!$D$6*'Import - recap'!$D6)+IF(AND($J6&gt;5,$J6&lt;=10),($J6-5)*Schedule!$D$7*'Import - recap'!$D6,IF($J6&gt;10,5*Schedule!$D$7*'Import - recap'!$D6)+IF(AND($J6&gt;10,$J6&lt;=15),($J6-10)*Schedule!$D$8*'Import - recap'!$D6,IF($J6&gt;15,5*Schedule!$D$8*'Import - recap'!$D6)+IF(AND($J6&gt;15,$J6&lt;=45),($J6-15)*Schedule!$D$9*'Import - recap'!$D6,IF($J6&gt;45,30*Schedule!$D$9*'Import - recap'!$D6)+(IF($J6&gt;45,(($J6-45)*Schedule!$D$9*'Import - recap'!$D6))))))+($J6*$D6*Schedule!$D$2)),"erreur")))</f>
        <v>0</v>
      </c>
      <c r="Z6" s="41" t="b">
        <f>IF($G6="Arrived at Port",IF(B6="SK",IF($E6=20,IF(AND($J6&gt;12,$J6&lt;=21),($J6-12)*Schedule!$C$14*'Import - recap'!$D6,IF($J6&gt;21,9*Schedule!$C$14*'Import - recap'!$D6)+(IF($J6&gt;21,(($J6-21)*Schedule!$C$15*'Import - recap'!$D6)))),IF(AND($J6&gt;12,$J6&lt;=21),($J6-12)*Schedule!$D$14*'Import - recap'!$D6,IF($J6&gt;21,9*Schedule!$D$14*'Import - recap'!$D6)+(IF($J6&gt;21,(($J6-21)*Schedule!$D$15*'Import - recap'!$D6))))),IF(B6="Company 1",IF($E6=20,IF(AND($J6&gt;12,$J6&lt;=21),($J6-12)*Schedule!$C$16*'Import - recap'!$D6,IF($J6&gt;21,9*Schedule!$C$16*'Import - recap'!$D6)+(IF($J6&gt;21,(($J6-21)*Schedule!$C$17*'Import - recap'!$D6)))),IF(AND($J6&gt;12,$J6&lt;=21),($J6-12)*Schedule!$D$16*'Import - recap'!$D6,IF($J6&gt;21,9*Schedule!$D$16*'Import - recap'!$D6)+(IF($J6&gt;21,(($J6-21)*Schedule!$D$17*'Import - recap'!$D6))))),IF(B6="Company 2",IF($E6=20,IF(AND($J6&gt;12,$J6&lt;=21),($J6-12)*Schedule!$C$18*'Import - recap'!$D6,IF($J6&gt;21,9*Schedule!$C$18*'Import - recap'!$D6)+(IF($J6&gt;21,(($J6-21)*Schedule!$C$19*'Import - recap'!$D6)))),IF(AND($J6&gt;12,$J6&lt;=21),($J6-12)*Schedule!$D$18*'Import - recap'!$D6,IF($J6&gt;21,9*Schedule!$D$18*'Import - recap'!$D6)+(IF($J6&gt;21,(($J6-21)*Schedule!$D$19*'Import - recap'!$D6)))))))),IF($G6="Paid, Not Yet Arrived at Factory",IF(B6="SK",IF($E6=20,IF(AND($J6&gt;12,$J6&lt;=21),($J6-12)*Schedule!$C$14*'Import - recap'!$D6,IF($J6&gt;21,9*Schedule!$C$14*'Import - recap'!$D6)+(IF($J6&gt;21,(($J6-21)*Schedule!$C$15*'Import - recap'!$D6)))),IF(AND($J6&gt;12,$J6&lt;=21),($J6-12)*Schedule!$D$14*'Import - recap'!$D6,IF($J6&gt;21,9*Schedule!$D$14*'Import - recap'!$D6)+(IF($J6&gt;21,(($J6-21)*Schedule!$D$15*'Import - recap'!$D6))))),IF(B6="Company 1",IF($E6=20,IF(AND($J6&gt;12,$J6&lt;=21),($J6-12)*Schedule!$C$16*'Import - recap'!$D6,IF($J6&gt;21,9*Schedule!$C$16*'Import - recap'!$D6)+(IF($J6&gt;21,(($J6-21)*Schedule!$C$17*'Import - recap'!$D6)))),IF(AND($J6&gt;12,$J6&lt;=21),($J6-12)*Schedule!$D$16*'Import - recap'!$D6,IF($J6&gt;21,9*Schedule!$D$16*'Import - recap'!$D6)+(IF($J6&gt;21,(($J6-21)*Schedule!$D$17*'Import - recap'!$D6))))),IF(B6="Company 2",IF($E6=20,IF(AND($J6&gt;12,$J6&lt;=21),($J6-12)*Schedule!$C$18*'Import - recap'!$D6,IF($J6&gt;21,9*Schedule!$C$18*'Import - recap'!$D6)+(IF($J6&gt;21,(($J6-21)*Schedule!$C$19*'Import - recap'!$D6)))),IF(AND($J6&gt;12,$J6&lt;=21),($J6-12)*Schedule!$D$18*'Import - recap'!$D6,IF($J6&gt;21,9*Schedule!$D$18*'Import - recap'!$D6)+(IF($J6&gt;21,(($J6-21)*Schedule!$D$19*'Import - recap'!$D6))))))))))</f>
        <v>0</v>
      </c>
      <c r="AA6" s="14" t="str">
        <f t="shared" si="2"/>
        <v>0</v>
      </c>
      <c r="AB6" s="14" t="str">
        <f t="shared" si="22"/>
        <v/>
      </c>
      <c r="AC6" s="14" t="str">
        <f t="shared" si="3"/>
        <v/>
      </c>
      <c r="AD6" s="14" t="str">
        <f t="shared" si="4"/>
        <v/>
      </c>
      <c r="AE6" s="14" t="str">
        <f t="shared" si="5"/>
        <v/>
      </c>
      <c r="AF6" s="14" t="str">
        <f t="shared" si="6"/>
        <v/>
      </c>
      <c r="AG6" s="70" t="str">
        <f t="shared" ref="AG6:AG17" si="26">IFERROR(X6+Y6+AB6+AC6+AD6+AE6+AF6+AA6,"")</f>
        <v/>
      </c>
      <c r="AH6" s="70" t="str">
        <f t="shared" ref="AH6:AH17" si="27">IFERROR(AG6/T6,"")</f>
        <v/>
      </c>
      <c r="AI6" s="72" t="str">
        <f t="shared" si="9"/>
        <v/>
      </c>
      <c r="AJ6" s="34" t="str">
        <f t="shared" si="10"/>
        <v/>
      </c>
      <c r="AK6" s="34" t="str">
        <f t="shared" si="11"/>
        <v/>
      </c>
      <c r="AL6" s="54" t="str">
        <f t="shared" ref="AL6:AL17" si="28">IFERROR(+(Z6+Y6)/AJ6,"")</f>
        <v/>
      </c>
      <c r="AM6" s="49" t="b">
        <f>IF($G6="Arrived at Port",IF($E6&lt;&gt;"",IF($E6=20,IF($J6&lt;2,0,IF($J6&lt;=7,(($J6-2)*Schedule!$C$3*$D6),5*Schedule!$C$3*$D6))+IF(AND($J6&gt;7,$J6&lt;=15),($J6-7)*Schedule!$C$4*$D6,IF($J6&gt;15,8*Schedule!$C$4*$D6))+(IF($J6&gt;15,(($J6-15)*Schedule!$C$5*'Import - recap'!$D6),0))+IF($J6&lt;=5,(($J6-0)*Schedule!$C$6*'Import - recap'!$D6),5*Schedule!$C$6*'Import - recap'!$D6)+IF(AND($J6&gt;5,$J6&lt;=10),($J6-5)*Schedule!$C$7*'Import - recap'!$D6,IF($J6&gt;10,5*Schedule!$C$7*'Import - recap'!$D6)+IF(AND($J6&gt;10,$J6&lt;=15),($J6-10)*Schedule!$C$8*'Import - recap'!$D6,IF($J6&gt;15,5*Schedule!$C$8*'Import - recap'!$D6)+IF(AND($J6&gt;15,$J6&lt;=45),($J6-15)*Schedule!$C$9*'Import - recap'!$D6,IF($J6&gt;45,30*Schedule!$C$9*'Import - recap'!$D6)+(IF($J6&gt;45,(($J6-45)*Schedule!$C$9*'Import - recap'!$D6))))))+($J6*$D6*Schedule!$C$2),IF($J6&lt;2,0,IF($J6&lt;=7,(($J6-2)*Schedule!$D$3*$D6),5*Schedule!$D$3*$D6))+IF(AND($J6&gt;7,$J6&lt;=15),($J6-7)*Schedule!$D$4*$D6,IF($J6&gt;15,8*Schedule!$D$4*$D6))+(IF($J6&gt;15,(($J6-15)*Schedule!$D$5*'Import - recap'!$D6),0))+IF($J6&lt;=5,(($J6-0)*Schedule!$D$6*'Import - recap'!$D6),5*Schedule!$D$6*'Import - recap'!$D6)+IF(AND($J6&gt;5,$J6&lt;=10),($J6-5)*Schedule!$D$7*'Import - recap'!$D6,IF($J6&gt;10,5*Schedule!$D$7*'Import - recap'!$D6)+IF(AND($J6&gt;10,$J6&lt;=15),($J6-10)*Schedule!$D$8*'Import - recap'!$D6,IF($J6&gt;15,5*Schedule!$D$8*'Import - recap'!$D6)+IF(AND($J6&gt;15,$J6&lt;=45),($J6-15)*Schedule!$D$9*'Import - recap'!$D6,IF($J6&gt;45,30*Schedule!$D$9*'Import - recap'!$D6)+(IF($J6&gt;45,(($J6-45)*Schedule!$D$9*'Import - recap'!$D6))))))+($J6*$D6*Schedule!$D$2)),"erreur"),IF($G6="Paid, Not Yet Arrived at Factory",IF($E6&lt;&gt;"",IF($E6=20,IF($J6&lt;2,0,IF($J6&lt;=7,(($J6-2)*Schedule!$C$3*$D6),5*Schedule!$C$3*$D6))+IF(AND($J6&gt;7,$J6&lt;=15),($J6-7)*Schedule!$C$4*$D6,IF($J6&gt;15,8*Schedule!$C$4*$D6))+(IF($J6&gt;15,(($J6-15)*Schedule!$C$5*'Import - recap'!$D6),0))+IF($J6&lt;=5,(($J6-0)*Schedule!$C$6*'Import - recap'!$D6),5*Schedule!$C$6*'Import - recap'!$D6)+IF(AND($J6&gt;5,$J6&lt;=10),($J6-5)*Schedule!$C$7*'Import - recap'!$D6,IF($J6&gt;10,5*Schedule!$C$7*'Import - recap'!$D6)+IF(AND($J6&gt;10,$J6&lt;=15),($J6-10)*Schedule!$C$8*'Import - recap'!$D6,IF($J6&gt;15,5*Schedule!$C$8*'Import - recap'!$D6)+IF(AND($J6&gt;15,$J6&lt;=45),($J6-15)*Schedule!$C$9*'Import - recap'!$D6,IF($J6&gt;45,30*Schedule!$C$9*'Import - recap'!$D6)+(IF($J6&gt;45,(($J6-45)*Schedule!$C$9*'Import - recap'!$D6))))))+($J6*$D6*Schedule!$C$2),IF($J6&lt;2,0,IF($J6&lt;=7,(($J6-2)*Schedule!$D$3*$D6),5*Schedule!$D$3*$D6))+IF(AND($J6&gt;7,$J6&lt;=15),($J6-7)*Schedule!$D$4*$D6,IF($J6&gt;15,8*Schedule!$D$4*$D6))+(IF($J6&gt;15,(($J6-15)*Schedule!$D$5*'Import - recap'!$D6),0))+IF($J6&lt;=5,(($J6-0)*Schedule!$D$6*'Import - recap'!$D6),5*Schedule!$D$6*'Import - recap'!$D6)+IF(AND($J6&gt;5,$J6&lt;=10),($J6-5)*Schedule!$D$7*'Import - recap'!$D6,IF($J6&gt;10,5*Schedule!$D$7*'Import - recap'!$D6)+IF(AND($J6&gt;10,$J6&lt;=15),($J6-10)*Schedule!$D$8*'Import - recap'!$D6,IF($J6&gt;15,5*Schedule!$D$8*'Import - recap'!$D6)+IF(AND($J6&gt;15,$J6&lt;=45),($J6-15)*Schedule!$D$9*'Import - recap'!$D6,IF($J6&gt;45,30*Schedule!$D$9*'Import - recap'!$D6)+(IF($J6&gt;45,(($J6-45)*Schedule!$D$9*'Import - recap'!$D6))))))+($J6*$D6*Schedule!$D$2)),"erreur")))</f>
        <v>0</v>
      </c>
      <c r="AN6" s="14" t="str">
        <f t="shared" si="13"/>
        <v>0</v>
      </c>
      <c r="AO6" s="14"/>
      <c r="AP6" s="14" t="str">
        <f>IF(SUMIFS('Import Record Details'!$O:$O,'Import Record Details'!$F:$F,'Import - recap'!$AP$3,'Import Record Details'!$A:$A,'Import - recap'!$A6)=0,IF($G6="Arrived at Port",$X6*0.04%,IF($G6="arrivé a l'usine non payé",$X6*0.04%,IF($G6="Paid, Not Yet Arrived at Factory",$X6*0.04%,""))),SUMIFS('Import Record Details'!$O:$O,'Import Record Details'!$F:$F,'Import - recap'!$AP$3,'Import Record Details'!$A:$A,'Import - recap'!$A6))</f>
        <v/>
      </c>
      <c r="AQ6" s="14" t="str">
        <f>IF(SUMIFS('Import Record Details'!$O:$O,'Import Record Details'!$F:$F,'Import - recap'!$AQ$3,'Import Record Details'!$A:$A,'Import - recap'!$A6)=0,IF($G6="Arrived at Port",$D6*650,IF($G6="arrivé a l'usine non payé",$D6*650,IF($G6="Paid, Not Yet Arrived at Factory",$D6*650,""))),SUMIFS('Import Record Details'!$O:$O,'Import Record Details'!$F:$F,'Import - recap'!$AQ$3,'Import Record Details'!$A:$A,'Import - recap'!$A6))</f>
        <v/>
      </c>
      <c r="AR6" s="14" t="str">
        <f>IF(SUMIFS('Import Record Details'!$O:$O,'Import Record Details'!$F:$F,'Import - recap'!$AR$3,'Import Record Details'!$A:$A,'Import - recap'!$A6)=0,IF($G6="Arrived at Port",$X6*0.2%,IF($G6="arrivé a l'usine non payé",$X6*0.2%,IF($G6="Paid, Not Yet Arrived at Factory",$X6*0.2%,""))),SUMIFS('Import Record Details'!$O:$O,'Import Record Details'!$F:$F,'Import - recap'!$AR$3,'Import Record Details'!$A:$A,'Import - recap'!$A6))</f>
        <v/>
      </c>
      <c r="AS6" s="14" t="str">
        <f>IF(SUMIFS('Import Record Details'!$O:$O,'Import Record Details'!$F:$F,'Import - recap'!$AS$3,'Import Record Details'!$A:$A,'Import - recap'!$A6)=0,IF($G6="Arrived at Port",$X6*0.06%,IF($G6="arrivé a l'usine non payé",$X6*0.06%,IF($G6="Paid, Not Yet Arrived at Factory",$X6*0.06%,""))),SUMIFS('Import Record Details'!$O:$O,'Import Record Details'!$F:$F,'Import - recap'!$AS$3,'Import Record Details'!$A:$A,'Import - recap'!$A6))</f>
        <v/>
      </c>
      <c r="AT6" s="54"/>
      <c r="AU6" s="72" t="str">
        <f t="shared" si="14"/>
        <v/>
      </c>
      <c r="AV6" s="15">
        <f t="shared" ref="AV6:AV17" si="29">AY6-AZ6</f>
        <v>0</v>
      </c>
      <c r="AW6" s="15" t="str">
        <f t="shared" ref="AW6:AW17" si="30">IFERROR(AV6/T6,"")</f>
        <v/>
      </c>
      <c r="AX6" s="76" t="b">
        <f t="shared" si="16"/>
        <v>0</v>
      </c>
      <c r="AY6" s="17">
        <f>SUMIFS('Import Record Details'!$O:$O,'Import Record Details'!$A:$A,'Import - recap'!$A6)</f>
        <v>0</v>
      </c>
      <c r="AZ6" s="16" t="b">
        <f>IF((+SUMIFS('Import Record Details'!$O:$O,'Import Record Details'!$A:$A,'Import - recap'!$A6,'Import Record Details'!$F:$F,'Import - recap'!$AZ$3)=0),IF($G6="cloturé",IF(B6="SK",IF($E6=20,IF(AND($J6&gt;12,$J6&lt;=21),($J6-12)*Schedule!$C$14*'Import - recap'!$D6,IF($J6&gt;21,9*Schedule!$C$14*'Import - recap'!$D6)+(IF($J6&gt;21,(($J6-21)*Schedule!$C$15*'Import - recap'!$D6)))),IF(AND($J6&gt;12,$J6&lt;=21),($J6-12)*Schedule!$D$14*'Import - recap'!$D6,IF($J6&gt;21,9*Schedule!$D$14*'Import - recap'!$D6)+(IF($J6&gt;21,(($J6-21)*Schedule!$D$15*'Import - recap'!$D6))))),IF(B6="Company 1",IF($E6=20,IF(AND($J6&gt;12,$J6&lt;=21),($J6-12)*Schedule!$C$16*'Import - recap'!$D6,IF($J6&gt;21,9*Schedule!$C$16*'Import - recap'!$D6)+(IF($J6&gt;21,(($J6-21)*Schedule!$C$17*'Import - recap'!$D6)))),IF(AND($J6&gt;12,$J6&lt;=21),($J6-12)*Schedule!$D$16*'Import - recap'!$D6,IF($J6&gt;21,9*Schedule!$D$16*'Import - recap'!$D6)+(IF($J6&gt;21,(($J6-21)*Schedule!$D$17*'Import - recap'!$D6))))),IF(B6="Company 2",IF($E6=20,IF(AND($J6&gt;12,$J6&lt;=21),($J6-12)*Schedule!$C$18*'Import - recap'!$D6,IF($J6&gt;21,9*Schedule!$C$18*'Import - recap'!$D6)+(IF($J6&gt;21,(($J6-21)*Schedule!$C$19*'Import - recap'!$D6)))),IF(AND($J6&gt;12,$J6&lt;=21),($J6-12)*Schedule!$D$18*'Import - recap'!$D6,IF($J6&gt;21,9*Schedule!$D$18*'Import - recap'!$D6)+(IF($J6&gt;21,(($J6-21)*Schedule!$D$19*'Import - recap'!$D6)))))))),IF($G6="arrivé a l'usine non payé",IF(B6="SK",IF($E6=20,IF(AND($J6&gt;12,$J6&lt;=21),($J6-12)*Schedule!$C$14*'Import - recap'!$D6,IF($J6&gt;21,9*Schedule!$C$14*'Import - recap'!$D6)+(IF($J6&gt;21,(($J6-21)*Schedule!$C$15*'Import - recap'!$D6)))),IF(AND($J6&gt;12,$J6&lt;=21),($J6-12)*Schedule!$D$14*'Import - recap'!$D6,IF($J6&gt;21,9*Schedule!$D$14*'Import - recap'!$D6)+(IF($J6&gt;21,(($J6-21)*Schedule!$D$15*'Import - recap'!$D6))))),IF(B6="Company 1",IF($E6=20,IF(AND($J6&gt;12,$J6&lt;=21),($J6-12)*Schedule!$C$16*'Import - recap'!$D6,IF($J6&gt;21,9*Schedule!$C$16*'Import - recap'!$D6)+(IF($J6&gt;21,(($J6-21)*Schedule!$C$17*'Import - recap'!$D6)))),IF(AND($J6&gt;12,$J6&lt;=21),($J6-12)*Schedule!$D$16*'Import - recap'!$D6,IF($J6&gt;21,9*Schedule!$D$16*'Import - recap'!$D6)+(IF($J6&gt;21,(($J6-21)*Schedule!$D$17*'Import - recap'!$D6))))),IF(B6="Company 2",IF($E6=20,IF(AND($J6&gt;12,$J6&lt;=21),($J6-12)*Schedule!$C$18*'Import - recap'!$D6,IF($J6&gt;21,9*Schedule!$C$18*'Import - recap'!$D6)+(IF($J6&gt;21,(($J6-21)*Schedule!$C$19*'Import - recap'!$D6)))),IF(AND($J6&gt;12,$J6&lt;=21),($J6-12)*Schedule!$D$18*'Import - recap'!$D6,IF($J6&gt;21,9*Schedule!$D$18*'Import - recap'!$D6)+(IF($J6&gt;21,(($J6-21)*Schedule!$D$19*'Import - recap'!$D6)))))))))),SUMIFS('Import Record Details'!$O:$O,'Import Record Details'!$A:$A,'Import - recap'!$A6,'Import Record Details'!$F:$F,'Import - recap'!$AZ$3))</f>
        <v>0</v>
      </c>
      <c r="BA6" s="17" t="str">
        <f t="shared" ref="BA6:BA17" si="31">IFERROR(AY6/T6,"")</f>
        <v/>
      </c>
      <c r="BB6" s="17">
        <f t="shared" ref="BB6:BB17" si="32">+Z6+AZ6</f>
        <v>0</v>
      </c>
      <c r="BC6" s="57" t="e">
        <f t="shared" ref="BC6:BC17" si="33">IF(AY6=0,BB6/AJ6,BB6/AY6)</f>
        <v>#VALUE!</v>
      </c>
    </row>
    <row r="7" spans="1:55" ht="25.5" customHeight="1" x14ac:dyDescent="0.25">
      <c r="A7" s="3"/>
      <c r="B7" s="3"/>
      <c r="C7" s="3"/>
      <c r="D7" s="3"/>
      <c r="E7" s="3"/>
      <c r="F7" s="40"/>
      <c r="G7" s="52"/>
      <c r="H7" s="20"/>
      <c r="I7" s="20"/>
      <c r="J7" s="31">
        <f t="shared" ca="1" si="24"/>
        <v>45980</v>
      </c>
      <c r="K7" s="31"/>
      <c r="L7" s="19"/>
      <c r="M7" s="10"/>
      <c r="N7" s="11"/>
      <c r="O7" s="20"/>
      <c r="P7" s="12"/>
      <c r="Q7" s="21"/>
      <c r="R7" s="13"/>
      <c r="S7" s="3"/>
      <c r="T7" s="77"/>
      <c r="U7" s="18">
        <f>+SUMIFS('Import Record Details'!$M:$M,'Import Record Details'!$A:$A,'Import - recap'!$A7)</f>
        <v>0</v>
      </c>
      <c r="V7" s="14" t="e">
        <f t="shared" si="25"/>
        <v>#DIV/0!</v>
      </c>
      <c r="W7" s="14"/>
      <c r="X7" s="14" t="str">
        <f t="shared" si="1"/>
        <v/>
      </c>
      <c r="Y7" s="49" t="b">
        <f>IF($G7="Arrived at Port",IF($E7&lt;&gt;"",IF($E7=20,IF($J7&lt;2,0,IF($J7&lt;=7,(($J7-2)*Schedule!$C$3*$D7),5*Schedule!$C$3*$D7))+IF(AND($J7&gt;7,$J7&lt;=15),($J7-7)*Schedule!$C$4*$D7,IF($J7&gt;15,8*Schedule!$C$4*$D7))+(IF($J7&gt;15,(($J7-15)*Schedule!$C$5*'Import - recap'!$D7),0))+IF($J7&lt;=5,(($J7-0)*Schedule!$C$6*'Import - recap'!$D7),5*Schedule!$C$6*'Import - recap'!$D7)+IF(AND($J7&gt;5,$J7&lt;=10),($J7-5)*Schedule!$C$7*'Import - recap'!$D7,IF($J7&gt;10,5*Schedule!$C$7*'Import - recap'!$D7)+IF(AND($J7&gt;10,$J7&lt;=15),($J7-10)*Schedule!$C$8*'Import - recap'!$D7,IF($J7&gt;15,5*Schedule!$C$8*'Import - recap'!$D7)+IF(AND($J7&gt;15,$J7&lt;=45),($J7-15)*Schedule!$C$9*'Import - recap'!$D7,IF($J7&gt;45,30*Schedule!$C$9*'Import - recap'!$D7)+(IF($J7&gt;45,(($J7-45)*Schedule!$C$9*'Import - recap'!$D7))))))+($J7*$D7*Schedule!$C$2),IF($J7&lt;2,0,IF($J7&lt;=7,(($J7-2)*Schedule!$D$3*$D7),5*Schedule!$D$3*$D7))+IF(AND($J7&gt;7,$J7&lt;=15),($J7-7)*Schedule!$D$4*$D7,IF($J7&gt;15,8*Schedule!$D$4*$D7))+(IF($J7&gt;15,(($J7-15)*Schedule!$D$5*'Import - recap'!$D7),0))+IF($J7&lt;=5,(($J7-0)*Schedule!$D$6*'Import - recap'!$D7),5*Schedule!$D$6*'Import - recap'!$D7)+IF(AND($J7&gt;5,$J7&lt;=10),($J7-5)*Schedule!$D$7*'Import - recap'!$D7,IF($J7&gt;10,5*Schedule!$D$7*'Import - recap'!$D7)+IF(AND($J7&gt;10,$J7&lt;=15),($J7-10)*Schedule!$D$8*'Import - recap'!$D7,IF($J7&gt;15,5*Schedule!$D$8*'Import - recap'!$D7)+IF(AND($J7&gt;15,$J7&lt;=45),($J7-15)*Schedule!$D$9*'Import - recap'!$D7,IF($J7&gt;45,30*Schedule!$D$9*'Import - recap'!$D7)+(IF($J7&gt;45,(($J7-45)*Schedule!$D$9*'Import - recap'!$D7))))))+($J7*$D7*Schedule!$D$2)),"erreur"),IF($G7="Paid, Not Yet Arrived at Factory",IF($E7&lt;&gt;"",IF($E7=20,IF($J7&lt;2,0,IF($J7&lt;=7,(($J7-2)*Schedule!$C$3*$D7),5*Schedule!$C$3*$D7))+IF(AND($J7&gt;7,$J7&lt;=15),($J7-7)*Schedule!$C$4*$D7,IF($J7&gt;15,8*Schedule!$C$4*$D7))+(IF($J7&gt;15,(($J7-15)*Schedule!$C$5*'Import - recap'!$D7),0))+IF($J7&lt;=5,(($J7-0)*Schedule!$C$6*'Import - recap'!$D7),5*Schedule!$C$6*'Import - recap'!$D7)+IF(AND($J7&gt;5,$J7&lt;=10),($J7-5)*Schedule!$C$7*'Import - recap'!$D7,IF($J7&gt;10,5*Schedule!$C$7*'Import - recap'!$D7)+IF(AND($J7&gt;10,$J7&lt;=15),($J7-10)*Schedule!$C$8*'Import - recap'!$D7,IF($J7&gt;15,5*Schedule!$C$8*'Import - recap'!$D7)+IF(AND($J7&gt;15,$J7&lt;=45),($J7-15)*Schedule!$C$9*'Import - recap'!$D7,IF($J7&gt;45,30*Schedule!$C$9*'Import - recap'!$D7)+(IF($J7&gt;45,(($J7-45)*Schedule!$C$9*'Import - recap'!$D7))))))+($J7*$D7*Schedule!$C$2),IF($J7&lt;2,0,IF($J7&lt;=7,(($J7-2)*Schedule!$D$3*$D7),5*Schedule!$D$3*$D7))+IF(AND($J7&gt;7,$J7&lt;=15),($J7-7)*Schedule!$D$4*$D7,IF($J7&gt;15,8*Schedule!$D$4*$D7))+(IF($J7&gt;15,(($J7-15)*Schedule!$D$5*'Import - recap'!$D7),0))+IF($J7&lt;=5,(($J7-0)*Schedule!$D$6*'Import - recap'!$D7),5*Schedule!$D$6*'Import - recap'!$D7)+IF(AND($J7&gt;5,$J7&lt;=10),($J7-5)*Schedule!$D$7*'Import - recap'!$D7,IF($J7&gt;10,5*Schedule!$D$7*'Import - recap'!$D7)+IF(AND($J7&gt;10,$J7&lt;=15),($J7-10)*Schedule!$D$8*'Import - recap'!$D7,IF($J7&gt;15,5*Schedule!$D$8*'Import - recap'!$D7)+IF(AND($J7&gt;15,$J7&lt;=45),($J7-15)*Schedule!$D$9*'Import - recap'!$D7,IF($J7&gt;45,30*Schedule!$D$9*'Import - recap'!$D7)+(IF($J7&gt;45,(($J7-45)*Schedule!$D$9*'Import - recap'!$D7))))))+($J7*$D7*Schedule!$D$2)),"erreur")))</f>
        <v>0</v>
      </c>
      <c r="Z7" s="41" t="b">
        <f>IF($G7="Arrived at Port",IF(B7="SK",IF($E7=20,IF(AND($J7&gt;12,$J7&lt;=21),($J7-12)*Schedule!$C$14*'Import - recap'!$D7,IF($J7&gt;21,9*Schedule!$C$14*'Import - recap'!$D7)+(IF($J7&gt;21,(($J7-21)*Schedule!$C$15*'Import - recap'!$D7)))),IF(AND($J7&gt;12,$J7&lt;=21),($J7-12)*Schedule!$D$14*'Import - recap'!$D7,IF($J7&gt;21,9*Schedule!$D$14*'Import - recap'!$D7)+(IF($J7&gt;21,(($J7-21)*Schedule!$D$15*'Import - recap'!$D7))))),IF(B7="Company 1",IF($E7=20,IF(AND($J7&gt;12,$J7&lt;=21),($J7-12)*Schedule!$C$16*'Import - recap'!$D7,IF($J7&gt;21,9*Schedule!$C$16*'Import - recap'!$D7)+(IF($J7&gt;21,(($J7-21)*Schedule!$C$17*'Import - recap'!$D7)))),IF(AND($J7&gt;12,$J7&lt;=21),($J7-12)*Schedule!$D$16*'Import - recap'!$D7,IF($J7&gt;21,9*Schedule!$D$16*'Import - recap'!$D7)+(IF($J7&gt;21,(($J7-21)*Schedule!$D$17*'Import - recap'!$D7))))),IF(B7="Company 2",IF($E7=20,IF(AND($J7&gt;12,$J7&lt;=21),($J7-12)*Schedule!$C$18*'Import - recap'!$D7,IF($J7&gt;21,9*Schedule!$C$18*'Import - recap'!$D7)+(IF($J7&gt;21,(($J7-21)*Schedule!$C$19*'Import - recap'!$D7)))),IF(AND($J7&gt;12,$J7&lt;=21),($J7-12)*Schedule!$D$18*'Import - recap'!$D7,IF($J7&gt;21,9*Schedule!$D$18*'Import - recap'!$D7)+(IF($J7&gt;21,(($J7-21)*Schedule!$D$19*'Import - recap'!$D7)))))))),IF($G7="Paid, Not Yet Arrived at Factory",IF(B7="SK",IF($E7=20,IF(AND($J7&gt;12,$J7&lt;=21),($J7-12)*Schedule!$C$14*'Import - recap'!$D7,IF($J7&gt;21,9*Schedule!$C$14*'Import - recap'!$D7)+(IF($J7&gt;21,(($J7-21)*Schedule!$C$15*'Import - recap'!$D7)))),IF(AND($J7&gt;12,$J7&lt;=21),($J7-12)*Schedule!$D$14*'Import - recap'!$D7,IF($J7&gt;21,9*Schedule!$D$14*'Import - recap'!$D7)+(IF($J7&gt;21,(($J7-21)*Schedule!$D$15*'Import - recap'!$D7))))),IF(B7="Company 1",IF($E7=20,IF(AND($J7&gt;12,$J7&lt;=21),($J7-12)*Schedule!$C$16*'Import - recap'!$D7,IF($J7&gt;21,9*Schedule!$C$16*'Import - recap'!$D7)+(IF($J7&gt;21,(($J7-21)*Schedule!$C$17*'Import - recap'!$D7)))),IF(AND($J7&gt;12,$J7&lt;=21),($J7-12)*Schedule!$D$16*'Import - recap'!$D7,IF($J7&gt;21,9*Schedule!$D$16*'Import - recap'!$D7)+(IF($J7&gt;21,(($J7-21)*Schedule!$D$17*'Import - recap'!$D7))))),IF(B7="Company 2",IF($E7=20,IF(AND($J7&gt;12,$J7&lt;=21),($J7-12)*Schedule!$C$18*'Import - recap'!$D7,IF($J7&gt;21,9*Schedule!$C$18*'Import - recap'!$D7)+(IF($J7&gt;21,(($J7-21)*Schedule!$C$19*'Import - recap'!$D7)))),IF(AND($J7&gt;12,$J7&lt;=21),($J7-12)*Schedule!$D$18*'Import - recap'!$D7,IF($J7&gt;21,9*Schedule!$D$18*'Import - recap'!$D7)+(IF($J7&gt;21,(($J7-21)*Schedule!$D$19*'Import - recap'!$D7))))))))))</f>
        <v>0</v>
      </c>
      <c r="AA7" s="14" t="str">
        <f t="shared" si="2"/>
        <v>0</v>
      </c>
      <c r="AB7" s="14" t="str">
        <f t="shared" si="22"/>
        <v/>
      </c>
      <c r="AC7" s="14" t="str">
        <f t="shared" si="3"/>
        <v/>
      </c>
      <c r="AD7" s="14" t="str">
        <f t="shared" si="4"/>
        <v/>
      </c>
      <c r="AE7" s="14" t="str">
        <f t="shared" si="5"/>
        <v/>
      </c>
      <c r="AF7" s="14" t="str">
        <f t="shared" si="6"/>
        <v/>
      </c>
      <c r="AG7" s="70" t="str">
        <f t="shared" si="26"/>
        <v/>
      </c>
      <c r="AH7" s="70" t="str">
        <f t="shared" si="27"/>
        <v/>
      </c>
      <c r="AI7" s="72" t="str">
        <f t="shared" si="9"/>
        <v/>
      </c>
      <c r="AJ7" s="34" t="str">
        <f t="shared" si="10"/>
        <v/>
      </c>
      <c r="AK7" s="34" t="str">
        <f t="shared" si="11"/>
        <v/>
      </c>
      <c r="AL7" s="54" t="str">
        <f t="shared" si="28"/>
        <v/>
      </c>
      <c r="AM7" s="49" t="b">
        <f>IF($G7="Arrived at Port",IF($E7&lt;&gt;"",IF($E7=20,IF($J7&lt;2,0,IF($J7&lt;=7,(($J7-2)*Schedule!$C$3*$D7),5*Schedule!$C$3*$D7))+IF(AND($J7&gt;7,$J7&lt;=15),($J7-7)*Schedule!$C$4*$D7,IF($J7&gt;15,8*Schedule!$C$4*$D7))+(IF($J7&gt;15,(($J7-15)*Schedule!$C$5*'Import - recap'!$D7),0))+IF($J7&lt;=5,(($J7-0)*Schedule!$C$6*'Import - recap'!$D7),5*Schedule!$C$6*'Import - recap'!$D7)+IF(AND($J7&gt;5,$J7&lt;=10),($J7-5)*Schedule!$C$7*'Import - recap'!$D7,IF($J7&gt;10,5*Schedule!$C$7*'Import - recap'!$D7)+IF(AND($J7&gt;10,$J7&lt;=15),($J7-10)*Schedule!$C$8*'Import - recap'!$D7,IF($J7&gt;15,5*Schedule!$C$8*'Import - recap'!$D7)+IF(AND($J7&gt;15,$J7&lt;=45),($J7-15)*Schedule!$C$9*'Import - recap'!$D7,IF($J7&gt;45,30*Schedule!$C$9*'Import - recap'!$D7)+(IF($J7&gt;45,(($J7-45)*Schedule!$C$9*'Import - recap'!$D7))))))+($J7*$D7*Schedule!$C$2),IF($J7&lt;2,0,IF($J7&lt;=7,(($J7-2)*Schedule!$D$3*$D7),5*Schedule!$D$3*$D7))+IF(AND($J7&gt;7,$J7&lt;=15),($J7-7)*Schedule!$D$4*$D7,IF($J7&gt;15,8*Schedule!$D$4*$D7))+(IF($J7&gt;15,(($J7-15)*Schedule!$D$5*'Import - recap'!$D7),0))+IF($J7&lt;=5,(($J7-0)*Schedule!$D$6*'Import - recap'!$D7),5*Schedule!$D$6*'Import - recap'!$D7)+IF(AND($J7&gt;5,$J7&lt;=10),($J7-5)*Schedule!$D$7*'Import - recap'!$D7,IF($J7&gt;10,5*Schedule!$D$7*'Import - recap'!$D7)+IF(AND($J7&gt;10,$J7&lt;=15),($J7-10)*Schedule!$D$8*'Import - recap'!$D7,IF($J7&gt;15,5*Schedule!$D$8*'Import - recap'!$D7)+IF(AND($J7&gt;15,$J7&lt;=45),($J7-15)*Schedule!$D$9*'Import - recap'!$D7,IF($J7&gt;45,30*Schedule!$D$9*'Import - recap'!$D7)+(IF($J7&gt;45,(($J7-45)*Schedule!$D$9*'Import - recap'!$D7))))))+($J7*$D7*Schedule!$D$2)),"erreur"),IF($G7="Paid, Not Yet Arrived at Factory",IF($E7&lt;&gt;"",IF($E7=20,IF($J7&lt;2,0,IF($J7&lt;=7,(($J7-2)*Schedule!$C$3*$D7),5*Schedule!$C$3*$D7))+IF(AND($J7&gt;7,$J7&lt;=15),($J7-7)*Schedule!$C$4*$D7,IF($J7&gt;15,8*Schedule!$C$4*$D7))+(IF($J7&gt;15,(($J7-15)*Schedule!$C$5*'Import - recap'!$D7),0))+IF($J7&lt;=5,(($J7-0)*Schedule!$C$6*'Import - recap'!$D7),5*Schedule!$C$6*'Import - recap'!$D7)+IF(AND($J7&gt;5,$J7&lt;=10),($J7-5)*Schedule!$C$7*'Import - recap'!$D7,IF($J7&gt;10,5*Schedule!$C$7*'Import - recap'!$D7)+IF(AND($J7&gt;10,$J7&lt;=15),($J7-10)*Schedule!$C$8*'Import - recap'!$D7,IF($J7&gt;15,5*Schedule!$C$8*'Import - recap'!$D7)+IF(AND($J7&gt;15,$J7&lt;=45),($J7-15)*Schedule!$C$9*'Import - recap'!$D7,IF($J7&gt;45,30*Schedule!$C$9*'Import - recap'!$D7)+(IF($J7&gt;45,(($J7-45)*Schedule!$C$9*'Import - recap'!$D7))))))+($J7*$D7*Schedule!$C$2),IF($J7&lt;2,0,IF($J7&lt;=7,(($J7-2)*Schedule!$D$3*$D7),5*Schedule!$D$3*$D7))+IF(AND($J7&gt;7,$J7&lt;=15),($J7-7)*Schedule!$D$4*$D7,IF($J7&gt;15,8*Schedule!$D$4*$D7))+(IF($J7&gt;15,(($J7-15)*Schedule!$D$5*'Import - recap'!$D7),0))+IF($J7&lt;=5,(($J7-0)*Schedule!$D$6*'Import - recap'!$D7),5*Schedule!$D$6*'Import - recap'!$D7)+IF(AND($J7&gt;5,$J7&lt;=10),($J7-5)*Schedule!$D$7*'Import - recap'!$D7,IF($J7&gt;10,5*Schedule!$D$7*'Import - recap'!$D7)+IF(AND($J7&gt;10,$J7&lt;=15),($J7-10)*Schedule!$D$8*'Import - recap'!$D7,IF($J7&gt;15,5*Schedule!$D$8*'Import - recap'!$D7)+IF(AND($J7&gt;15,$J7&lt;=45),($J7-15)*Schedule!$D$9*'Import - recap'!$D7,IF($J7&gt;45,30*Schedule!$D$9*'Import - recap'!$D7)+(IF($J7&gt;45,(($J7-45)*Schedule!$D$9*'Import - recap'!$D7))))))+($J7*$D7*Schedule!$D$2)),"erreur")))</f>
        <v>0</v>
      </c>
      <c r="AN7" s="14" t="str">
        <f t="shared" si="13"/>
        <v>0</v>
      </c>
      <c r="AO7" s="14"/>
      <c r="AP7" s="14" t="str">
        <f>IF(SUMIFS('Import Record Details'!$O:$O,'Import Record Details'!$F:$F,'Import - recap'!$AP$3,'Import Record Details'!$A:$A,'Import - recap'!$A7)=0,IF($G7="Arrived at Port",$X7*0.04%,IF($G7="arrivé a l'usine non payé",$X7*0.04%,IF($G7="Paid, Not Yet Arrived at Factory",$X7*0.04%,""))),SUMIFS('Import Record Details'!$O:$O,'Import Record Details'!$F:$F,'Import - recap'!$AP$3,'Import Record Details'!$A:$A,'Import - recap'!$A7))</f>
        <v/>
      </c>
      <c r="AQ7" s="14" t="str">
        <f>IF(SUMIFS('Import Record Details'!$O:$O,'Import Record Details'!$F:$F,'Import - recap'!$AQ$3,'Import Record Details'!$A:$A,'Import - recap'!$A7)=0,IF($G7="Arrived at Port",$D7*650,IF($G7="arrivé a l'usine non payé",$D7*650,IF($G7="Paid, Not Yet Arrived at Factory",$D7*650,""))),SUMIFS('Import Record Details'!$O:$O,'Import Record Details'!$F:$F,'Import - recap'!$AQ$3,'Import Record Details'!$A:$A,'Import - recap'!$A7))</f>
        <v/>
      </c>
      <c r="AR7" s="14" t="str">
        <f>IF(SUMIFS('Import Record Details'!$O:$O,'Import Record Details'!$F:$F,'Import - recap'!$AR$3,'Import Record Details'!$A:$A,'Import - recap'!$A7)=0,IF($G7="Arrived at Port",$X7*0.2%,IF($G7="arrivé a l'usine non payé",$X7*0.2%,IF($G7="Paid, Not Yet Arrived at Factory",$X7*0.2%,""))),SUMIFS('Import Record Details'!$O:$O,'Import Record Details'!$F:$F,'Import - recap'!$AR$3,'Import Record Details'!$A:$A,'Import - recap'!$A7))</f>
        <v/>
      </c>
      <c r="AS7" s="14" t="str">
        <f>IF(SUMIFS('Import Record Details'!$O:$O,'Import Record Details'!$F:$F,'Import - recap'!$AS$3,'Import Record Details'!$A:$A,'Import - recap'!$A7)=0,IF($G7="Arrived at Port",$X7*0.06%,IF($G7="arrivé a l'usine non payé",$X7*0.06%,IF($G7="Paid, Not Yet Arrived at Factory",$X7*0.06%,""))),SUMIFS('Import Record Details'!$O:$O,'Import Record Details'!$F:$F,'Import - recap'!$AS$3,'Import Record Details'!$A:$A,'Import - recap'!$A7))</f>
        <v/>
      </c>
      <c r="AT7" s="54"/>
      <c r="AU7" s="72" t="str">
        <f t="shared" si="14"/>
        <v/>
      </c>
      <c r="AV7" s="15">
        <f t="shared" si="29"/>
        <v>0</v>
      </c>
      <c r="AW7" s="15" t="str">
        <f t="shared" si="30"/>
        <v/>
      </c>
      <c r="AX7" s="76" t="b">
        <f t="shared" si="16"/>
        <v>0</v>
      </c>
      <c r="AY7" s="17">
        <f>SUMIFS('Import Record Details'!$O:$O,'Import Record Details'!$A:$A,'Import - recap'!$A7)</f>
        <v>0</v>
      </c>
      <c r="AZ7" s="16" t="b">
        <f>IF((+SUMIFS('Import Record Details'!$O:$O,'Import Record Details'!$A:$A,'Import - recap'!$A7,'Import Record Details'!$F:$F,'Import - recap'!$AZ$3)=0),IF($G7="cloturé",IF(B7="SK",IF($E7=20,IF(AND($J7&gt;12,$J7&lt;=21),($J7-12)*Schedule!$C$14*'Import - recap'!$D7,IF($J7&gt;21,9*Schedule!$C$14*'Import - recap'!$D7)+(IF($J7&gt;21,(($J7-21)*Schedule!$C$15*'Import - recap'!$D7)))),IF(AND($J7&gt;12,$J7&lt;=21),($J7-12)*Schedule!$D$14*'Import - recap'!$D7,IF($J7&gt;21,9*Schedule!$D$14*'Import - recap'!$D7)+(IF($J7&gt;21,(($J7-21)*Schedule!$D$15*'Import - recap'!$D7))))),IF(B7="Company 1",IF($E7=20,IF(AND($J7&gt;12,$J7&lt;=21),($J7-12)*Schedule!$C$16*'Import - recap'!$D7,IF($J7&gt;21,9*Schedule!$C$16*'Import - recap'!$D7)+(IF($J7&gt;21,(($J7-21)*Schedule!$C$17*'Import - recap'!$D7)))),IF(AND($J7&gt;12,$J7&lt;=21),($J7-12)*Schedule!$D$16*'Import - recap'!$D7,IF($J7&gt;21,9*Schedule!$D$16*'Import - recap'!$D7)+(IF($J7&gt;21,(($J7-21)*Schedule!$D$17*'Import - recap'!$D7))))),IF(B7="Company 2",IF($E7=20,IF(AND($J7&gt;12,$J7&lt;=21),($J7-12)*Schedule!$C$18*'Import - recap'!$D7,IF($J7&gt;21,9*Schedule!$C$18*'Import - recap'!$D7)+(IF($J7&gt;21,(($J7-21)*Schedule!$C$19*'Import - recap'!$D7)))),IF(AND($J7&gt;12,$J7&lt;=21),($J7-12)*Schedule!$D$18*'Import - recap'!$D7,IF($J7&gt;21,9*Schedule!$D$18*'Import - recap'!$D7)+(IF($J7&gt;21,(($J7-21)*Schedule!$D$19*'Import - recap'!$D7)))))))),IF($G7="arrivé a l'usine non payé",IF(B7="SK",IF($E7=20,IF(AND($J7&gt;12,$J7&lt;=21),($J7-12)*Schedule!$C$14*'Import - recap'!$D7,IF($J7&gt;21,9*Schedule!$C$14*'Import - recap'!$D7)+(IF($J7&gt;21,(($J7-21)*Schedule!$C$15*'Import - recap'!$D7)))),IF(AND($J7&gt;12,$J7&lt;=21),($J7-12)*Schedule!$D$14*'Import - recap'!$D7,IF($J7&gt;21,9*Schedule!$D$14*'Import - recap'!$D7)+(IF($J7&gt;21,(($J7-21)*Schedule!$D$15*'Import - recap'!$D7))))),IF(B7="Company 1",IF($E7=20,IF(AND($J7&gt;12,$J7&lt;=21),($J7-12)*Schedule!$C$16*'Import - recap'!$D7,IF($J7&gt;21,9*Schedule!$C$16*'Import - recap'!$D7)+(IF($J7&gt;21,(($J7-21)*Schedule!$C$17*'Import - recap'!$D7)))),IF(AND($J7&gt;12,$J7&lt;=21),($J7-12)*Schedule!$D$16*'Import - recap'!$D7,IF($J7&gt;21,9*Schedule!$D$16*'Import - recap'!$D7)+(IF($J7&gt;21,(($J7-21)*Schedule!$D$17*'Import - recap'!$D7))))),IF(B7="Company 2",IF($E7=20,IF(AND($J7&gt;12,$J7&lt;=21),($J7-12)*Schedule!$C$18*'Import - recap'!$D7,IF($J7&gt;21,9*Schedule!$C$18*'Import - recap'!$D7)+(IF($J7&gt;21,(($J7-21)*Schedule!$C$19*'Import - recap'!$D7)))),IF(AND($J7&gt;12,$J7&lt;=21),($J7-12)*Schedule!$D$18*'Import - recap'!$D7,IF($J7&gt;21,9*Schedule!$D$18*'Import - recap'!$D7)+(IF($J7&gt;21,(($J7-21)*Schedule!$D$19*'Import - recap'!$D7)))))))))),SUMIFS('Import Record Details'!$O:$O,'Import Record Details'!$A:$A,'Import - recap'!$A7,'Import Record Details'!$F:$F,'Import - recap'!$AZ$3))</f>
        <v>0</v>
      </c>
      <c r="BA7" s="17" t="str">
        <f t="shared" si="31"/>
        <v/>
      </c>
      <c r="BB7" s="17">
        <f t="shared" si="32"/>
        <v>0</v>
      </c>
      <c r="BC7" s="57" t="e">
        <f t="shared" si="33"/>
        <v>#VALUE!</v>
      </c>
    </row>
    <row r="8" spans="1:55" ht="25.5" customHeight="1" x14ac:dyDescent="0.25">
      <c r="A8" s="3"/>
      <c r="B8" s="3"/>
      <c r="C8" s="3"/>
      <c r="D8" s="3"/>
      <c r="E8" s="3"/>
      <c r="F8" s="40"/>
      <c r="G8" s="52"/>
      <c r="H8" s="20"/>
      <c r="I8" s="20"/>
      <c r="J8" s="31">
        <f t="shared" ca="1" si="24"/>
        <v>45980</v>
      </c>
      <c r="K8" s="31"/>
      <c r="L8" s="19"/>
      <c r="M8" s="10"/>
      <c r="N8" s="11"/>
      <c r="O8" s="20"/>
      <c r="P8" s="12"/>
      <c r="Q8" s="21"/>
      <c r="R8" s="13"/>
      <c r="S8" s="3"/>
      <c r="T8" s="77"/>
      <c r="U8" s="18">
        <f>+SUMIFS('Import Record Details'!$M:$M,'Import Record Details'!$A:$A,'Import - recap'!$A8)</f>
        <v>0</v>
      </c>
      <c r="V8" s="14" t="e">
        <f t="shared" si="25"/>
        <v>#DIV/0!</v>
      </c>
      <c r="W8" s="14"/>
      <c r="X8" s="14" t="str">
        <f t="shared" si="1"/>
        <v/>
      </c>
      <c r="Y8" s="49" t="b">
        <f>IF($G8="Arrived at Port",IF($E8&lt;&gt;"",IF($E8=20,IF($J8&lt;2,0,IF($J8&lt;=7,(($J8-2)*Schedule!$C$3*$D8),5*Schedule!$C$3*$D8))+IF(AND($J8&gt;7,$J8&lt;=15),($J8-7)*Schedule!$C$4*$D8,IF($J8&gt;15,8*Schedule!$C$4*$D8))+(IF($J8&gt;15,(($J8-15)*Schedule!$C$5*'Import - recap'!$D8),0))+IF($J8&lt;=5,(($J8-0)*Schedule!$C$6*'Import - recap'!$D8),5*Schedule!$C$6*'Import - recap'!$D8)+IF(AND($J8&gt;5,$J8&lt;=10),($J8-5)*Schedule!$C$7*'Import - recap'!$D8,IF($J8&gt;10,5*Schedule!$C$7*'Import - recap'!$D8)+IF(AND($J8&gt;10,$J8&lt;=15),($J8-10)*Schedule!$C$8*'Import - recap'!$D8,IF($J8&gt;15,5*Schedule!$C$8*'Import - recap'!$D8)+IF(AND($J8&gt;15,$J8&lt;=45),($J8-15)*Schedule!$C$9*'Import - recap'!$D8,IF($J8&gt;45,30*Schedule!$C$9*'Import - recap'!$D8)+(IF($J8&gt;45,(($J8-45)*Schedule!$C$9*'Import - recap'!$D8))))))+($J8*$D8*Schedule!$C$2),IF($J8&lt;2,0,IF($J8&lt;=7,(($J8-2)*Schedule!$D$3*$D8),5*Schedule!$D$3*$D8))+IF(AND($J8&gt;7,$J8&lt;=15),($J8-7)*Schedule!$D$4*$D8,IF($J8&gt;15,8*Schedule!$D$4*$D8))+(IF($J8&gt;15,(($J8-15)*Schedule!$D$5*'Import - recap'!$D8),0))+IF($J8&lt;=5,(($J8-0)*Schedule!$D$6*'Import - recap'!$D8),5*Schedule!$D$6*'Import - recap'!$D8)+IF(AND($J8&gt;5,$J8&lt;=10),($J8-5)*Schedule!$D$7*'Import - recap'!$D8,IF($J8&gt;10,5*Schedule!$D$7*'Import - recap'!$D8)+IF(AND($J8&gt;10,$J8&lt;=15),($J8-10)*Schedule!$D$8*'Import - recap'!$D8,IF($J8&gt;15,5*Schedule!$D$8*'Import - recap'!$D8)+IF(AND($J8&gt;15,$J8&lt;=45),($J8-15)*Schedule!$D$9*'Import - recap'!$D8,IF($J8&gt;45,30*Schedule!$D$9*'Import - recap'!$D8)+(IF($J8&gt;45,(($J8-45)*Schedule!$D$9*'Import - recap'!$D8))))))+($J8*$D8*Schedule!$D$2)),"erreur"),IF($G8="Paid, Not Yet Arrived at Factory",IF($E8&lt;&gt;"",IF($E8=20,IF($J8&lt;2,0,IF($J8&lt;=7,(($J8-2)*Schedule!$C$3*$D8),5*Schedule!$C$3*$D8))+IF(AND($J8&gt;7,$J8&lt;=15),($J8-7)*Schedule!$C$4*$D8,IF($J8&gt;15,8*Schedule!$C$4*$D8))+(IF($J8&gt;15,(($J8-15)*Schedule!$C$5*'Import - recap'!$D8),0))+IF($J8&lt;=5,(($J8-0)*Schedule!$C$6*'Import - recap'!$D8),5*Schedule!$C$6*'Import - recap'!$D8)+IF(AND($J8&gt;5,$J8&lt;=10),($J8-5)*Schedule!$C$7*'Import - recap'!$D8,IF($J8&gt;10,5*Schedule!$C$7*'Import - recap'!$D8)+IF(AND($J8&gt;10,$J8&lt;=15),($J8-10)*Schedule!$C$8*'Import - recap'!$D8,IF($J8&gt;15,5*Schedule!$C$8*'Import - recap'!$D8)+IF(AND($J8&gt;15,$J8&lt;=45),($J8-15)*Schedule!$C$9*'Import - recap'!$D8,IF($J8&gt;45,30*Schedule!$C$9*'Import - recap'!$D8)+(IF($J8&gt;45,(($J8-45)*Schedule!$C$9*'Import - recap'!$D8))))))+($J8*$D8*Schedule!$C$2),IF($J8&lt;2,0,IF($J8&lt;=7,(($J8-2)*Schedule!$D$3*$D8),5*Schedule!$D$3*$D8))+IF(AND($J8&gt;7,$J8&lt;=15),($J8-7)*Schedule!$D$4*$D8,IF($J8&gt;15,8*Schedule!$D$4*$D8))+(IF($J8&gt;15,(($J8-15)*Schedule!$D$5*'Import - recap'!$D8),0))+IF($J8&lt;=5,(($J8-0)*Schedule!$D$6*'Import - recap'!$D8),5*Schedule!$D$6*'Import - recap'!$D8)+IF(AND($J8&gt;5,$J8&lt;=10),($J8-5)*Schedule!$D$7*'Import - recap'!$D8,IF($J8&gt;10,5*Schedule!$D$7*'Import - recap'!$D8)+IF(AND($J8&gt;10,$J8&lt;=15),($J8-10)*Schedule!$D$8*'Import - recap'!$D8,IF($J8&gt;15,5*Schedule!$D$8*'Import - recap'!$D8)+IF(AND($J8&gt;15,$J8&lt;=45),($J8-15)*Schedule!$D$9*'Import - recap'!$D8,IF($J8&gt;45,30*Schedule!$D$9*'Import - recap'!$D8)+(IF($J8&gt;45,(($J8-45)*Schedule!$D$9*'Import - recap'!$D8))))))+($J8*$D8*Schedule!$D$2)),"erreur")))</f>
        <v>0</v>
      </c>
      <c r="Z8" s="41" t="b">
        <f>IF($G8="Arrived at Port",IF(B8="SK",IF($E8=20,IF(AND($J8&gt;12,$J8&lt;=21),($J8-12)*Schedule!$C$14*'Import - recap'!$D8,IF($J8&gt;21,9*Schedule!$C$14*'Import - recap'!$D8)+(IF($J8&gt;21,(($J8-21)*Schedule!$C$15*'Import - recap'!$D8)))),IF(AND($J8&gt;12,$J8&lt;=21),($J8-12)*Schedule!$D$14*'Import - recap'!$D8,IF($J8&gt;21,9*Schedule!$D$14*'Import - recap'!$D8)+(IF($J8&gt;21,(($J8-21)*Schedule!$D$15*'Import - recap'!$D8))))),IF(B8="Company 1",IF($E8=20,IF(AND($J8&gt;12,$J8&lt;=21),($J8-12)*Schedule!$C$16*'Import - recap'!$D8,IF($J8&gt;21,9*Schedule!$C$16*'Import - recap'!$D8)+(IF($J8&gt;21,(($J8-21)*Schedule!$C$17*'Import - recap'!$D8)))),IF(AND($J8&gt;12,$J8&lt;=21),($J8-12)*Schedule!$D$16*'Import - recap'!$D8,IF($J8&gt;21,9*Schedule!$D$16*'Import - recap'!$D8)+(IF($J8&gt;21,(($J8-21)*Schedule!$D$17*'Import - recap'!$D8))))),IF(B8="Company 2",IF($E8=20,IF(AND($J8&gt;12,$J8&lt;=21),($J8-12)*Schedule!$C$18*'Import - recap'!$D8,IF($J8&gt;21,9*Schedule!$C$18*'Import - recap'!$D8)+(IF($J8&gt;21,(($J8-21)*Schedule!$C$19*'Import - recap'!$D8)))),IF(AND($J8&gt;12,$J8&lt;=21),($J8-12)*Schedule!$D$18*'Import - recap'!$D8,IF($J8&gt;21,9*Schedule!$D$18*'Import - recap'!$D8)+(IF($J8&gt;21,(($J8-21)*Schedule!$D$19*'Import - recap'!$D8)))))))),IF($G8="Paid, Not Yet Arrived at Factory",IF(B8="SK",IF($E8=20,IF(AND($J8&gt;12,$J8&lt;=21),($J8-12)*Schedule!$C$14*'Import - recap'!$D8,IF($J8&gt;21,9*Schedule!$C$14*'Import - recap'!$D8)+(IF($J8&gt;21,(($J8-21)*Schedule!$C$15*'Import - recap'!$D8)))),IF(AND($J8&gt;12,$J8&lt;=21),($J8-12)*Schedule!$D$14*'Import - recap'!$D8,IF($J8&gt;21,9*Schedule!$D$14*'Import - recap'!$D8)+(IF($J8&gt;21,(($J8-21)*Schedule!$D$15*'Import - recap'!$D8))))),IF(B8="Company 1",IF($E8=20,IF(AND($J8&gt;12,$J8&lt;=21),($J8-12)*Schedule!$C$16*'Import - recap'!$D8,IF($J8&gt;21,9*Schedule!$C$16*'Import - recap'!$D8)+(IF($J8&gt;21,(($J8-21)*Schedule!$C$17*'Import - recap'!$D8)))),IF(AND($J8&gt;12,$J8&lt;=21),($J8-12)*Schedule!$D$16*'Import - recap'!$D8,IF($J8&gt;21,9*Schedule!$D$16*'Import - recap'!$D8)+(IF($J8&gt;21,(($J8-21)*Schedule!$D$17*'Import - recap'!$D8))))),IF(B8="Company 2",IF($E8=20,IF(AND($J8&gt;12,$J8&lt;=21),($J8-12)*Schedule!$C$18*'Import - recap'!$D8,IF($J8&gt;21,9*Schedule!$C$18*'Import - recap'!$D8)+(IF($J8&gt;21,(($J8-21)*Schedule!$C$19*'Import - recap'!$D8)))),IF(AND($J8&gt;12,$J8&lt;=21),($J8-12)*Schedule!$D$18*'Import - recap'!$D8,IF($J8&gt;21,9*Schedule!$D$18*'Import - recap'!$D8)+(IF($J8&gt;21,(($J8-21)*Schedule!$D$19*'Import - recap'!$D8))))))))))</f>
        <v>0</v>
      </c>
      <c r="AA8" s="14" t="str">
        <f t="shared" si="2"/>
        <v>0</v>
      </c>
      <c r="AB8" s="14" t="str">
        <f t="shared" si="22"/>
        <v/>
      </c>
      <c r="AC8" s="14" t="str">
        <f t="shared" si="3"/>
        <v/>
      </c>
      <c r="AD8" s="14" t="str">
        <f t="shared" si="4"/>
        <v/>
      </c>
      <c r="AE8" s="14" t="str">
        <f t="shared" si="5"/>
        <v/>
      </c>
      <c r="AF8" s="14" t="str">
        <f t="shared" si="6"/>
        <v/>
      </c>
      <c r="AG8" s="70" t="str">
        <f t="shared" si="26"/>
        <v/>
      </c>
      <c r="AH8" s="70" t="str">
        <f t="shared" si="27"/>
        <v/>
      </c>
      <c r="AI8" s="72" t="str">
        <f t="shared" si="9"/>
        <v/>
      </c>
      <c r="AJ8" s="34" t="str">
        <f t="shared" si="10"/>
        <v/>
      </c>
      <c r="AK8" s="34" t="str">
        <f t="shared" si="11"/>
        <v/>
      </c>
      <c r="AL8" s="54" t="str">
        <f t="shared" si="28"/>
        <v/>
      </c>
      <c r="AM8" s="49" t="b">
        <f>IF($G8="Arrived at Port",IF($E8&lt;&gt;"",IF($E8=20,IF($J8&lt;2,0,IF($J8&lt;=7,(($J8-2)*Schedule!$C$3*$D8),5*Schedule!$C$3*$D8))+IF(AND($J8&gt;7,$J8&lt;=15),($J8-7)*Schedule!$C$4*$D8,IF($J8&gt;15,8*Schedule!$C$4*$D8))+(IF($J8&gt;15,(($J8-15)*Schedule!$C$5*'Import - recap'!$D8),0))+IF($J8&lt;=5,(($J8-0)*Schedule!$C$6*'Import - recap'!$D8),5*Schedule!$C$6*'Import - recap'!$D8)+IF(AND($J8&gt;5,$J8&lt;=10),($J8-5)*Schedule!$C$7*'Import - recap'!$D8,IF($J8&gt;10,5*Schedule!$C$7*'Import - recap'!$D8)+IF(AND($J8&gt;10,$J8&lt;=15),($J8-10)*Schedule!$C$8*'Import - recap'!$D8,IF($J8&gt;15,5*Schedule!$C$8*'Import - recap'!$D8)+IF(AND($J8&gt;15,$J8&lt;=45),($J8-15)*Schedule!$C$9*'Import - recap'!$D8,IF($J8&gt;45,30*Schedule!$C$9*'Import - recap'!$D8)+(IF($J8&gt;45,(($J8-45)*Schedule!$C$9*'Import - recap'!$D8))))))+($J8*$D8*Schedule!$C$2),IF($J8&lt;2,0,IF($J8&lt;=7,(($J8-2)*Schedule!$D$3*$D8),5*Schedule!$D$3*$D8))+IF(AND($J8&gt;7,$J8&lt;=15),($J8-7)*Schedule!$D$4*$D8,IF($J8&gt;15,8*Schedule!$D$4*$D8))+(IF($J8&gt;15,(($J8-15)*Schedule!$D$5*'Import - recap'!$D8),0))+IF($J8&lt;=5,(($J8-0)*Schedule!$D$6*'Import - recap'!$D8),5*Schedule!$D$6*'Import - recap'!$D8)+IF(AND($J8&gt;5,$J8&lt;=10),($J8-5)*Schedule!$D$7*'Import - recap'!$D8,IF($J8&gt;10,5*Schedule!$D$7*'Import - recap'!$D8)+IF(AND($J8&gt;10,$J8&lt;=15),($J8-10)*Schedule!$D$8*'Import - recap'!$D8,IF($J8&gt;15,5*Schedule!$D$8*'Import - recap'!$D8)+IF(AND($J8&gt;15,$J8&lt;=45),($J8-15)*Schedule!$D$9*'Import - recap'!$D8,IF($J8&gt;45,30*Schedule!$D$9*'Import - recap'!$D8)+(IF($J8&gt;45,(($J8-45)*Schedule!$D$9*'Import - recap'!$D8))))))+($J8*$D8*Schedule!$D$2)),"erreur"),IF($G8="Paid, Not Yet Arrived at Factory",IF($E8&lt;&gt;"",IF($E8=20,IF($J8&lt;2,0,IF($J8&lt;=7,(($J8-2)*Schedule!$C$3*$D8),5*Schedule!$C$3*$D8))+IF(AND($J8&gt;7,$J8&lt;=15),($J8-7)*Schedule!$C$4*$D8,IF($J8&gt;15,8*Schedule!$C$4*$D8))+(IF($J8&gt;15,(($J8-15)*Schedule!$C$5*'Import - recap'!$D8),0))+IF($J8&lt;=5,(($J8-0)*Schedule!$C$6*'Import - recap'!$D8),5*Schedule!$C$6*'Import - recap'!$D8)+IF(AND($J8&gt;5,$J8&lt;=10),($J8-5)*Schedule!$C$7*'Import - recap'!$D8,IF($J8&gt;10,5*Schedule!$C$7*'Import - recap'!$D8)+IF(AND($J8&gt;10,$J8&lt;=15),($J8-10)*Schedule!$C$8*'Import - recap'!$D8,IF($J8&gt;15,5*Schedule!$C$8*'Import - recap'!$D8)+IF(AND($J8&gt;15,$J8&lt;=45),($J8-15)*Schedule!$C$9*'Import - recap'!$D8,IF($J8&gt;45,30*Schedule!$C$9*'Import - recap'!$D8)+(IF($J8&gt;45,(($J8-45)*Schedule!$C$9*'Import - recap'!$D8))))))+($J8*$D8*Schedule!$C$2),IF($J8&lt;2,0,IF($J8&lt;=7,(($J8-2)*Schedule!$D$3*$D8),5*Schedule!$D$3*$D8))+IF(AND($J8&gt;7,$J8&lt;=15),($J8-7)*Schedule!$D$4*$D8,IF($J8&gt;15,8*Schedule!$D$4*$D8))+(IF($J8&gt;15,(($J8-15)*Schedule!$D$5*'Import - recap'!$D8),0))+IF($J8&lt;=5,(($J8-0)*Schedule!$D$6*'Import - recap'!$D8),5*Schedule!$D$6*'Import - recap'!$D8)+IF(AND($J8&gt;5,$J8&lt;=10),($J8-5)*Schedule!$D$7*'Import - recap'!$D8,IF($J8&gt;10,5*Schedule!$D$7*'Import - recap'!$D8)+IF(AND($J8&gt;10,$J8&lt;=15),($J8-10)*Schedule!$D$8*'Import - recap'!$D8,IF($J8&gt;15,5*Schedule!$D$8*'Import - recap'!$D8)+IF(AND($J8&gt;15,$J8&lt;=45),($J8-15)*Schedule!$D$9*'Import - recap'!$D8,IF($J8&gt;45,30*Schedule!$D$9*'Import - recap'!$D8)+(IF($J8&gt;45,(($J8-45)*Schedule!$D$9*'Import - recap'!$D8))))))+($J8*$D8*Schedule!$D$2)),"erreur")))</f>
        <v>0</v>
      </c>
      <c r="AN8" s="14" t="str">
        <f t="shared" si="13"/>
        <v>0</v>
      </c>
      <c r="AO8" s="14"/>
      <c r="AP8" s="14" t="str">
        <f>IF(SUMIFS('Import Record Details'!$O:$O,'Import Record Details'!$F:$F,'Import - recap'!$AP$3,'Import Record Details'!$A:$A,'Import - recap'!$A8)=0,IF($G8="Arrived at Port",$X8*0.04%,IF($G8="arrivé a l'usine non payé",$X8*0.04%,IF($G8="Paid, Not Yet Arrived at Factory",$X8*0.04%,""))),SUMIFS('Import Record Details'!$O:$O,'Import Record Details'!$F:$F,'Import - recap'!$AP$3,'Import Record Details'!$A:$A,'Import - recap'!$A8))</f>
        <v/>
      </c>
      <c r="AQ8" s="14" t="str">
        <f>IF(SUMIFS('Import Record Details'!$O:$O,'Import Record Details'!$F:$F,'Import - recap'!$AQ$3,'Import Record Details'!$A:$A,'Import - recap'!$A8)=0,IF($G8="Arrived at Port",$D8*650,IF($G8="arrivé a l'usine non payé",$D8*650,IF($G8="Paid, Not Yet Arrived at Factory",$D8*650,""))),SUMIFS('Import Record Details'!$O:$O,'Import Record Details'!$F:$F,'Import - recap'!$AQ$3,'Import Record Details'!$A:$A,'Import - recap'!$A8))</f>
        <v/>
      </c>
      <c r="AR8" s="14" t="str">
        <f>IF(SUMIFS('Import Record Details'!$O:$O,'Import Record Details'!$F:$F,'Import - recap'!$AR$3,'Import Record Details'!$A:$A,'Import - recap'!$A8)=0,IF($G8="Arrived at Port",$X8*0.2%,IF($G8="arrivé a l'usine non payé",$X8*0.2%,IF($G8="Paid, Not Yet Arrived at Factory",$X8*0.2%,""))),SUMIFS('Import Record Details'!$O:$O,'Import Record Details'!$F:$F,'Import - recap'!$AR$3,'Import Record Details'!$A:$A,'Import - recap'!$A8))</f>
        <v/>
      </c>
      <c r="AS8" s="14" t="str">
        <f>IF(SUMIFS('Import Record Details'!$O:$O,'Import Record Details'!$F:$F,'Import - recap'!$AS$3,'Import Record Details'!$A:$A,'Import - recap'!$A8)=0,IF($G8="Arrived at Port",$X8*0.06%,IF($G8="arrivé a l'usine non payé",$X8*0.06%,IF($G8="Paid, Not Yet Arrived at Factory",$X8*0.06%,""))),SUMIFS('Import Record Details'!$O:$O,'Import Record Details'!$F:$F,'Import - recap'!$AS$3,'Import Record Details'!$A:$A,'Import - recap'!$A8))</f>
        <v/>
      </c>
      <c r="AT8" s="54"/>
      <c r="AU8" s="72" t="str">
        <f t="shared" si="14"/>
        <v/>
      </c>
      <c r="AV8" s="15">
        <f t="shared" si="29"/>
        <v>0</v>
      </c>
      <c r="AW8" s="15" t="str">
        <f t="shared" si="30"/>
        <v/>
      </c>
      <c r="AX8" s="76" t="b">
        <f t="shared" si="16"/>
        <v>0</v>
      </c>
      <c r="AY8" s="17">
        <f>SUMIFS('Import Record Details'!$O:$O,'Import Record Details'!$A:$A,'Import - recap'!$A8)</f>
        <v>0</v>
      </c>
      <c r="AZ8" s="16" t="b">
        <f>IF((+SUMIFS('Import Record Details'!$O:$O,'Import Record Details'!$A:$A,'Import - recap'!$A8,'Import Record Details'!$F:$F,'Import - recap'!$AZ$3)=0),IF($G8="cloturé",IF(B8="SK",IF($E8=20,IF(AND($J8&gt;12,$J8&lt;=21),($J8-12)*Schedule!$C$14*'Import - recap'!$D8,IF($J8&gt;21,9*Schedule!$C$14*'Import - recap'!$D8)+(IF($J8&gt;21,(($J8-21)*Schedule!$C$15*'Import - recap'!$D8)))),IF(AND($J8&gt;12,$J8&lt;=21),($J8-12)*Schedule!$D$14*'Import - recap'!$D8,IF($J8&gt;21,9*Schedule!$D$14*'Import - recap'!$D8)+(IF($J8&gt;21,(($J8-21)*Schedule!$D$15*'Import - recap'!$D8))))),IF(B8="Company 1",IF($E8=20,IF(AND($J8&gt;12,$J8&lt;=21),($J8-12)*Schedule!$C$16*'Import - recap'!$D8,IF($J8&gt;21,9*Schedule!$C$16*'Import - recap'!$D8)+(IF($J8&gt;21,(($J8-21)*Schedule!$C$17*'Import - recap'!$D8)))),IF(AND($J8&gt;12,$J8&lt;=21),($J8-12)*Schedule!$D$16*'Import - recap'!$D8,IF($J8&gt;21,9*Schedule!$D$16*'Import - recap'!$D8)+(IF($J8&gt;21,(($J8-21)*Schedule!$D$17*'Import - recap'!$D8))))),IF(B8="Company 2",IF($E8=20,IF(AND($J8&gt;12,$J8&lt;=21),($J8-12)*Schedule!$C$18*'Import - recap'!$D8,IF($J8&gt;21,9*Schedule!$C$18*'Import - recap'!$D8)+(IF($J8&gt;21,(($J8-21)*Schedule!$C$19*'Import - recap'!$D8)))),IF(AND($J8&gt;12,$J8&lt;=21),($J8-12)*Schedule!$D$18*'Import - recap'!$D8,IF($J8&gt;21,9*Schedule!$D$18*'Import - recap'!$D8)+(IF($J8&gt;21,(($J8-21)*Schedule!$D$19*'Import - recap'!$D8)))))))),IF($G8="arrivé a l'usine non payé",IF(B8="SK",IF($E8=20,IF(AND($J8&gt;12,$J8&lt;=21),($J8-12)*Schedule!$C$14*'Import - recap'!$D8,IF($J8&gt;21,9*Schedule!$C$14*'Import - recap'!$D8)+(IF($J8&gt;21,(($J8-21)*Schedule!$C$15*'Import - recap'!$D8)))),IF(AND($J8&gt;12,$J8&lt;=21),($J8-12)*Schedule!$D$14*'Import - recap'!$D8,IF($J8&gt;21,9*Schedule!$D$14*'Import - recap'!$D8)+(IF($J8&gt;21,(($J8-21)*Schedule!$D$15*'Import - recap'!$D8))))),IF(B8="Company 1",IF($E8=20,IF(AND($J8&gt;12,$J8&lt;=21),($J8-12)*Schedule!$C$16*'Import - recap'!$D8,IF($J8&gt;21,9*Schedule!$C$16*'Import - recap'!$D8)+(IF($J8&gt;21,(($J8-21)*Schedule!$C$17*'Import - recap'!$D8)))),IF(AND($J8&gt;12,$J8&lt;=21),($J8-12)*Schedule!$D$16*'Import - recap'!$D8,IF($J8&gt;21,9*Schedule!$D$16*'Import - recap'!$D8)+(IF($J8&gt;21,(($J8-21)*Schedule!$D$17*'Import - recap'!$D8))))),IF(B8="Company 2",IF($E8=20,IF(AND($J8&gt;12,$J8&lt;=21),($J8-12)*Schedule!$C$18*'Import - recap'!$D8,IF($J8&gt;21,9*Schedule!$C$18*'Import - recap'!$D8)+(IF($J8&gt;21,(($J8-21)*Schedule!$C$19*'Import - recap'!$D8)))),IF(AND($J8&gt;12,$J8&lt;=21),($J8-12)*Schedule!$D$18*'Import - recap'!$D8,IF($J8&gt;21,9*Schedule!$D$18*'Import - recap'!$D8)+(IF($J8&gt;21,(($J8-21)*Schedule!$D$19*'Import - recap'!$D8)))))))))),SUMIFS('Import Record Details'!$O:$O,'Import Record Details'!$A:$A,'Import - recap'!$A8,'Import Record Details'!$F:$F,'Import - recap'!$AZ$3))</f>
        <v>0</v>
      </c>
      <c r="BA8" s="17" t="str">
        <f t="shared" si="31"/>
        <v/>
      </c>
      <c r="BB8" s="17">
        <f t="shared" si="32"/>
        <v>0</v>
      </c>
      <c r="BC8" s="57" t="e">
        <f t="shared" si="33"/>
        <v>#VALUE!</v>
      </c>
    </row>
    <row r="9" spans="1:55" ht="25.5" customHeight="1" x14ac:dyDescent="0.25">
      <c r="A9" s="3"/>
      <c r="B9" s="3"/>
      <c r="C9" s="3"/>
      <c r="D9" s="3"/>
      <c r="E9" s="3"/>
      <c r="F9" s="40"/>
      <c r="G9" s="52"/>
      <c r="H9" s="20"/>
      <c r="I9" s="20"/>
      <c r="J9" s="31">
        <f t="shared" ca="1" si="24"/>
        <v>45980</v>
      </c>
      <c r="K9" s="31"/>
      <c r="L9" s="19"/>
      <c r="M9" s="10"/>
      <c r="N9" s="11"/>
      <c r="O9" s="20"/>
      <c r="P9" s="12"/>
      <c r="Q9" s="21"/>
      <c r="R9" s="13"/>
      <c r="S9" s="3"/>
      <c r="T9" s="77"/>
      <c r="U9" s="18">
        <f>+SUMIFS('Import Record Details'!$M:$M,'Import Record Details'!$A:$A,'Import - recap'!$A9)</f>
        <v>0</v>
      </c>
      <c r="V9" s="14" t="e">
        <f t="shared" si="25"/>
        <v>#DIV/0!</v>
      </c>
      <c r="W9" s="14"/>
      <c r="X9" s="14" t="str">
        <f t="shared" si="1"/>
        <v/>
      </c>
      <c r="Y9" s="49" t="b">
        <f>IF($G9="Arrived at Port",IF($E9&lt;&gt;"",IF($E9=20,IF($J9&lt;2,0,IF($J9&lt;=7,(($J9-2)*Schedule!$C$3*$D9),5*Schedule!$C$3*$D9))+IF(AND($J9&gt;7,$J9&lt;=15),($J9-7)*Schedule!$C$4*$D9,IF($J9&gt;15,8*Schedule!$C$4*$D9))+(IF($J9&gt;15,(($J9-15)*Schedule!$C$5*'Import - recap'!$D9),0))+IF($J9&lt;=5,(($J9-0)*Schedule!$C$6*'Import - recap'!$D9),5*Schedule!$C$6*'Import - recap'!$D9)+IF(AND($J9&gt;5,$J9&lt;=10),($J9-5)*Schedule!$C$7*'Import - recap'!$D9,IF($J9&gt;10,5*Schedule!$C$7*'Import - recap'!$D9)+IF(AND($J9&gt;10,$J9&lt;=15),($J9-10)*Schedule!$C$8*'Import - recap'!$D9,IF($J9&gt;15,5*Schedule!$C$8*'Import - recap'!$D9)+IF(AND($J9&gt;15,$J9&lt;=45),($J9-15)*Schedule!$C$9*'Import - recap'!$D9,IF($J9&gt;45,30*Schedule!$C$9*'Import - recap'!$D9)+(IF($J9&gt;45,(($J9-45)*Schedule!$C$9*'Import - recap'!$D9))))))+($J9*$D9*Schedule!$C$2),IF($J9&lt;2,0,IF($J9&lt;=7,(($J9-2)*Schedule!$D$3*$D9),5*Schedule!$D$3*$D9))+IF(AND($J9&gt;7,$J9&lt;=15),($J9-7)*Schedule!$D$4*$D9,IF($J9&gt;15,8*Schedule!$D$4*$D9))+(IF($J9&gt;15,(($J9-15)*Schedule!$D$5*'Import - recap'!$D9),0))+IF($J9&lt;=5,(($J9-0)*Schedule!$D$6*'Import - recap'!$D9),5*Schedule!$D$6*'Import - recap'!$D9)+IF(AND($J9&gt;5,$J9&lt;=10),($J9-5)*Schedule!$D$7*'Import - recap'!$D9,IF($J9&gt;10,5*Schedule!$D$7*'Import - recap'!$D9)+IF(AND($J9&gt;10,$J9&lt;=15),($J9-10)*Schedule!$D$8*'Import - recap'!$D9,IF($J9&gt;15,5*Schedule!$D$8*'Import - recap'!$D9)+IF(AND($J9&gt;15,$J9&lt;=45),($J9-15)*Schedule!$D$9*'Import - recap'!$D9,IF($J9&gt;45,30*Schedule!$D$9*'Import - recap'!$D9)+(IF($J9&gt;45,(($J9-45)*Schedule!$D$9*'Import - recap'!$D9))))))+($J9*$D9*Schedule!$D$2)),"erreur"),IF($G9="Paid, Not Yet Arrived at Factory",IF($E9&lt;&gt;"",IF($E9=20,IF($J9&lt;2,0,IF($J9&lt;=7,(($J9-2)*Schedule!$C$3*$D9),5*Schedule!$C$3*$D9))+IF(AND($J9&gt;7,$J9&lt;=15),($J9-7)*Schedule!$C$4*$D9,IF($J9&gt;15,8*Schedule!$C$4*$D9))+(IF($J9&gt;15,(($J9-15)*Schedule!$C$5*'Import - recap'!$D9),0))+IF($J9&lt;=5,(($J9-0)*Schedule!$C$6*'Import - recap'!$D9),5*Schedule!$C$6*'Import - recap'!$D9)+IF(AND($J9&gt;5,$J9&lt;=10),($J9-5)*Schedule!$C$7*'Import - recap'!$D9,IF($J9&gt;10,5*Schedule!$C$7*'Import - recap'!$D9)+IF(AND($J9&gt;10,$J9&lt;=15),($J9-10)*Schedule!$C$8*'Import - recap'!$D9,IF($J9&gt;15,5*Schedule!$C$8*'Import - recap'!$D9)+IF(AND($J9&gt;15,$J9&lt;=45),($J9-15)*Schedule!$C$9*'Import - recap'!$D9,IF($J9&gt;45,30*Schedule!$C$9*'Import - recap'!$D9)+(IF($J9&gt;45,(($J9-45)*Schedule!$C$9*'Import - recap'!$D9))))))+($J9*$D9*Schedule!$C$2),IF($J9&lt;2,0,IF($J9&lt;=7,(($J9-2)*Schedule!$D$3*$D9),5*Schedule!$D$3*$D9))+IF(AND($J9&gt;7,$J9&lt;=15),($J9-7)*Schedule!$D$4*$D9,IF($J9&gt;15,8*Schedule!$D$4*$D9))+(IF($J9&gt;15,(($J9-15)*Schedule!$D$5*'Import - recap'!$D9),0))+IF($J9&lt;=5,(($J9-0)*Schedule!$D$6*'Import - recap'!$D9),5*Schedule!$D$6*'Import - recap'!$D9)+IF(AND($J9&gt;5,$J9&lt;=10),($J9-5)*Schedule!$D$7*'Import - recap'!$D9,IF($J9&gt;10,5*Schedule!$D$7*'Import - recap'!$D9)+IF(AND($J9&gt;10,$J9&lt;=15),($J9-10)*Schedule!$D$8*'Import - recap'!$D9,IF($J9&gt;15,5*Schedule!$D$8*'Import - recap'!$D9)+IF(AND($J9&gt;15,$J9&lt;=45),($J9-15)*Schedule!$D$9*'Import - recap'!$D9,IF($J9&gt;45,30*Schedule!$D$9*'Import - recap'!$D9)+(IF($J9&gt;45,(($J9-45)*Schedule!$D$9*'Import - recap'!$D9))))))+($J9*$D9*Schedule!$D$2)),"erreur")))</f>
        <v>0</v>
      </c>
      <c r="Z9" s="41" t="b">
        <f>IF($G9="Arrived at Port",IF(B9="SK",IF($E9=20,IF(AND($J9&gt;12,$J9&lt;=21),($J9-12)*Schedule!$C$14*'Import - recap'!$D9,IF($J9&gt;21,9*Schedule!$C$14*'Import - recap'!$D9)+(IF($J9&gt;21,(($J9-21)*Schedule!$C$15*'Import - recap'!$D9)))),IF(AND($J9&gt;12,$J9&lt;=21),($J9-12)*Schedule!$D$14*'Import - recap'!$D9,IF($J9&gt;21,9*Schedule!$D$14*'Import - recap'!$D9)+(IF($J9&gt;21,(($J9-21)*Schedule!$D$15*'Import - recap'!$D9))))),IF(B9="Company 1",IF($E9=20,IF(AND($J9&gt;12,$J9&lt;=21),($J9-12)*Schedule!$C$16*'Import - recap'!$D9,IF($J9&gt;21,9*Schedule!$C$16*'Import - recap'!$D9)+(IF($J9&gt;21,(($J9-21)*Schedule!$C$17*'Import - recap'!$D9)))),IF(AND($J9&gt;12,$J9&lt;=21),($J9-12)*Schedule!$D$16*'Import - recap'!$D9,IF($J9&gt;21,9*Schedule!$D$16*'Import - recap'!$D9)+(IF($J9&gt;21,(($J9-21)*Schedule!$D$17*'Import - recap'!$D9))))),IF(B9="Company 2",IF($E9=20,IF(AND($J9&gt;12,$J9&lt;=21),($J9-12)*Schedule!$C$18*'Import - recap'!$D9,IF($J9&gt;21,9*Schedule!$C$18*'Import - recap'!$D9)+(IF($J9&gt;21,(($J9-21)*Schedule!$C$19*'Import - recap'!$D9)))),IF(AND($J9&gt;12,$J9&lt;=21),($J9-12)*Schedule!$D$18*'Import - recap'!$D9,IF($J9&gt;21,9*Schedule!$D$18*'Import - recap'!$D9)+(IF($J9&gt;21,(($J9-21)*Schedule!$D$19*'Import - recap'!$D9)))))))),IF($G9="Paid, Not Yet Arrived at Factory",IF(B9="SK",IF($E9=20,IF(AND($J9&gt;12,$J9&lt;=21),($J9-12)*Schedule!$C$14*'Import - recap'!$D9,IF($J9&gt;21,9*Schedule!$C$14*'Import - recap'!$D9)+(IF($J9&gt;21,(($J9-21)*Schedule!$C$15*'Import - recap'!$D9)))),IF(AND($J9&gt;12,$J9&lt;=21),($J9-12)*Schedule!$D$14*'Import - recap'!$D9,IF($J9&gt;21,9*Schedule!$D$14*'Import - recap'!$D9)+(IF($J9&gt;21,(($J9-21)*Schedule!$D$15*'Import - recap'!$D9))))),IF(B9="Company 1",IF($E9=20,IF(AND($J9&gt;12,$J9&lt;=21),($J9-12)*Schedule!$C$16*'Import - recap'!$D9,IF($J9&gt;21,9*Schedule!$C$16*'Import - recap'!$D9)+(IF($J9&gt;21,(($J9-21)*Schedule!$C$17*'Import - recap'!$D9)))),IF(AND($J9&gt;12,$J9&lt;=21),($J9-12)*Schedule!$D$16*'Import - recap'!$D9,IF($J9&gt;21,9*Schedule!$D$16*'Import - recap'!$D9)+(IF($J9&gt;21,(($J9-21)*Schedule!$D$17*'Import - recap'!$D9))))),IF(B9="Company 2",IF($E9=20,IF(AND($J9&gt;12,$J9&lt;=21),($J9-12)*Schedule!$C$18*'Import - recap'!$D9,IF($J9&gt;21,9*Schedule!$C$18*'Import - recap'!$D9)+(IF($J9&gt;21,(($J9-21)*Schedule!$C$19*'Import - recap'!$D9)))),IF(AND($J9&gt;12,$J9&lt;=21),($J9-12)*Schedule!$D$18*'Import - recap'!$D9,IF($J9&gt;21,9*Schedule!$D$18*'Import - recap'!$D9)+(IF($J9&gt;21,(($J9-21)*Schedule!$D$19*'Import - recap'!$D9))))))))))</f>
        <v>0</v>
      </c>
      <c r="AA9" s="14" t="str">
        <f t="shared" si="2"/>
        <v>0</v>
      </c>
      <c r="AB9" s="14" t="str">
        <f t="shared" si="22"/>
        <v/>
      </c>
      <c r="AC9" s="14" t="str">
        <f t="shared" si="3"/>
        <v/>
      </c>
      <c r="AD9" s="14" t="str">
        <f t="shared" si="4"/>
        <v/>
      </c>
      <c r="AE9" s="14" t="str">
        <f t="shared" si="5"/>
        <v/>
      </c>
      <c r="AF9" s="14" t="str">
        <f t="shared" si="6"/>
        <v/>
      </c>
      <c r="AG9" s="70" t="str">
        <f t="shared" si="26"/>
        <v/>
      </c>
      <c r="AH9" s="70" t="str">
        <f t="shared" si="27"/>
        <v/>
      </c>
      <c r="AI9" s="72" t="str">
        <f t="shared" si="9"/>
        <v/>
      </c>
      <c r="AJ9" s="34" t="str">
        <f t="shared" si="10"/>
        <v/>
      </c>
      <c r="AK9" s="34" t="str">
        <f t="shared" si="11"/>
        <v/>
      </c>
      <c r="AL9" s="54" t="str">
        <f t="shared" si="28"/>
        <v/>
      </c>
      <c r="AM9" s="49" t="b">
        <f>IF($G9="Arrived at Port",IF($E9&lt;&gt;"",IF($E9=20,IF($J9&lt;2,0,IF($J9&lt;=7,(($J9-2)*Schedule!$C$3*$D9),5*Schedule!$C$3*$D9))+IF(AND($J9&gt;7,$J9&lt;=15),($J9-7)*Schedule!$C$4*$D9,IF($J9&gt;15,8*Schedule!$C$4*$D9))+(IF($J9&gt;15,(($J9-15)*Schedule!$C$5*'Import - recap'!$D9),0))+IF($J9&lt;=5,(($J9-0)*Schedule!$C$6*'Import - recap'!$D9),5*Schedule!$C$6*'Import - recap'!$D9)+IF(AND($J9&gt;5,$J9&lt;=10),($J9-5)*Schedule!$C$7*'Import - recap'!$D9,IF($J9&gt;10,5*Schedule!$C$7*'Import - recap'!$D9)+IF(AND($J9&gt;10,$J9&lt;=15),($J9-10)*Schedule!$C$8*'Import - recap'!$D9,IF($J9&gt;15,5*Schedule!$C$8*'Import - recap'!$D9)+IF(AND($J9&gt;15,$J9&lt;=45),($J9-15)*Schedule!$C$9*'Import - recap'!$D9,IF($J9&gt;45,30*Schedule!$C$9*'Import - recap'!$D9)+(IF($J9&gt;45,(($J9-45)*Schedule!$C$9*'Import - recap'!$D9))))))+($J9*$D9*Schedule!$C$2),IF($J9&lt;2,0,IF($J9&lt;=7,(($J9-2)*Schedule!$D$3*$D9),5*Schedule!$D$3*$D9))+IF(AND($J9&gt;7,$J9&lt;=15),($J9-7)*Schedule!$D$4*$D9,IF($J9&gt;15,8*Schedule!$D$4*$D9))+(IF($J9&gt;15,(($J9-15)*Schedule!$D$5*'Import - recap'!$D9),0))+IF($J9&lt;=5,(($J9-0)*Schedule!$D$6*'Import - recap'!$D9),5*Schedule!$D$6*'Import - recap'!$D9)+IF(AND($J9&gt;5,$J9&lt;=10),($J9-5)*Schedule!$D$7*'Import - recap'!$D9,IF($J9&gt;10,5*Schedule!$D$7*'Import - recap'!$D9)+IF(AND($J9&gt;10,$J9&lt;=15),($J9-10)*Schedule!$D$8*'Import - recap'!$D9,IF($J9&gt;15,5*Schedule!$D$8*'Import - recap'!$D9)+IF(AND($J9&gt;15,$J9&lt;=45),($J9-15)*Schedule!$D$9*'Import - recap'!$D9,IF($J9&gt;45,30*Schedule!$D$9*'Import - recap'!$D9)+(IF($J9&gt;45,(($J9-45)*Schedule!$D$9*'Import - recap'!$D9))))))+($J9*$D9*Schedule!$D$2)),"erreur"),IF($G9="Paid, Not Yet Arrived at Factory",IF($E9&lt;&gt;"",IF($E9=20,IF($J9&lt;2,0,IF($J9&lt;=7,(($J9-2)*Schedule!$C$3*$D9),5*Schedule!$C$3*$D9))+IF(AND($J9&gt;7,$J9&lt;=15),($J9-7)*Schedule!$C$4*$D9,IF($J9&gt;15,8*Schedule!$C$4*$D9))+(IF($J9&gt;15,(($J9-15)*Schedule!$C$5*'Import - recap'!$D9),0))+IF($J9&lt;=5,(($J9-0)*Schedule!$C$6*'Import - recap'!$D9),5*Schedule!$C$6*'Import - recap'!$D9)+IF(AND($J9&gt;5,$J9&lt;=10),($J9-5)*Schedule!$C$7*'Import - recap'!$D9,IF($J9&gt;10,5*Schedule!$C$7*'Import - recap'!$D9)+IF(AND($J9&gt;10,$J9&lt;=15),($J9-10)*Schedule!$C$8*'Import - recap'!$D9,IF($J9&gt;15,5*Schedule!$C$8*'Import - recap'!$D9)+IF(AND($J9&gt;15,$J9&lt;=45),($J9-15)*Schedule!$C$9*'Import - recap'!$D9,IF($J9&gt;45,30*Schedule!$C$9*'Import - recap'!$D9)+(IF($J9&gt;45,(($J9-45)*Schedule!$C$9*'Import - recap'!$D9))))))+($J9*$D9*Schedule!$C$2),IF($J9&lt;2,0,IF($J9&lt;=7,(($J9-2)*Schedule!$D$3*$D9),5*Schedule!$D$3*$D9))+IF(AND($J9&gt;7,$J9&lt;=15),($J9-7)*Schedule!$D$4*$D9,IF($J9&gt;15,8*Schedule!$D$4*$D9))+(IF($J9&gt;15,(($J9-15)*Schedule!$D$5*'Import - recap'!$D9),0))+IF($J9&lt;=5,(($J9-0)*Schedule!$D$6*'Import - recap'!$D9),5*Schedule!$D$6*'Import - recap'!$D9)+IF(AND($J9&gt;5,$J9&lt;=10),($J9-5)*Schedule!$D$7*'Import - recap'!$D9,IF($J9&gt;10,5*Schedule!$D$7*'Import - recap'!$D9)+IF(AND($J9&gt;10,$J9&lt;=15),($J9-10)*Schedule!$D$8*'Import - recap'!$D9,IF($J9&gt;15,5*Schedule!$D$8*'Import - recap'!$D9)+IF(AND($J9&gt;15,$J9&lt;=45),($J9-15)*Schedule!$D$9*'Import - recap'!$D9,IF($J9&gt;45,30*Schedule!$D$9*'Import - recap'!$D9)+(IF($J9&gt;45,(($J9-45)*Schedule!$D$9*'Import - recap'!$D9))))))+($J9*$D9*Schedule!$D$2)),"erreur")))</f>
        <v>0</v>
      </c>
      <c r="AN9" s="14" t="str">
        <f t="shared" si="13"/>
        <v>0</v>
      </c>
      <c r="AO9" s="14"/>
      <c r="AP9" s="14" t="str">
        <f>IF(SUMIFS('Import Record Details'!$O:$O,'Import Record Details'!$F:$F,'Import - recap'!$AP$3,'Import Record Details'!$A:$A,'Import - recap'!$A9)=0,IF($G9="Arrived at Port",$X9*0.04%,IF($G9="arrivé a l'usine non payé",$X9*0.04%,IF($G9="Paid, Not Yet Arrived at Factory",$X9*0.04%,""))),SUMIFS('Import Record Details'!$O:$O,'Import Record Details'!$F:$F,'Import - recap'!$AP$3,'Import Record Details'!$A:$A,'Import - recap'!$A9))</f>
        <v/>
      </c>
      <c r="AQ9" s="14" t="str">
        <f>IF(SUMIFS('Import Record Details'!$O:$O,'Import Record Details'!$F:$F,'Import - recap'!$AQ$3,'Import Record Details'!$A:$A,'Import - recap'!$A9)=0,IF($G9="Arrived at Port",$D9*650,IF($G9="arrivé a l'usine non payé",$D9*650,IF($G9="Paid, Not Yet Arrived at Factory",$D9*650,""))),SUMIFS('Import Record Details'!$O:$O,'Import Record Details'!$F:$F,'Import - recap'!$AQ$3,'Import Record Details'!$A:$A,'Import - recap'!$A9))</f>
        <v/>
      </c>
      <c r="AR9" s="14" t="str">
        <f>IF(SUMIFS('Import Record Details'!$O:$O,'Import Record Details'!$F:$F,'Import - recap'!$AR$3,'Import Record Details'!$A:$A,'Import - recap'!$A9)=0,IF($G9="Arrived at Port",$X9*0.2%,IF($G9="arrivé a l'usine non payé",$X9*0.2%,IF($G9="Paid, Not Yet Arrived at Factory",$X9*0.2%,""))),SUMIFS('Import Record Details'!$O:$O,'Import Record Details'!$F:$F,'Import - recap'!$AR$3,'Import Record Details'!$A:$A,'Import - recap'!$A9))</f>
        <v/>
      </c>
      <c r="AS9" s="14" t="str">
        <f>IF(SUMIFS('Import Record Details'!$O:$O,'Import Record Details'!$F:$F,'Import - recap'!$AS$3,'Import Record Details'!$A:$A,'Import - recap'!$A9)=0,IF($G9="Arrived at Port",$X9*0.06%,IF($G9="arrivé a l'usine non payé",$X9*0.06%,IF($G9="Paid, Not Yet Arrived at Factory",$X9*0.06%,""))),SUMIFS('Import Record Details'!$O:$O,'Import Record Details'!$F:$F,'Import - recap'!$AS$3,'Import Record Details'!$A:$A,'Import - recap'!$A9))</f>
        <v/>
      </c>
      <c r="AT9" s="54"/>
      <c r="AU9" s="72" t="str">
        <f t="shared" si="14"/>
        <v/>
      </c>
      <c r="AV9" s="15">
        <f t="shared" si="29"/>
        <v>0</v>
      </c>
      <c r="AW9" s="15" t="str">
        <f t="shared" si="30"/>
        <v/>
      </c>
      <c r="AX9" s="76" t="b">
        <f t="shared" si="16"/>
        <v>0</v>
      </c>
      <c r="AY9" s="17">
        <f>SUMIFS('Import Record Details'!$O:$O,'Import Record Details'!$A:$A,'Import - recap'!$A9)</f>
        <v>0</v>
      </c>
      <c r="AZ9" s="16" t="b">
        <f>IF((+SUMIFS('Import Record Details'!$O:$O,'Import Record Details'!$A:$A,'Import - recap'!$A9,'Import Record Details'!$F:$F,'Import - recap'!$AZ$3)=0),IF($G9="cloturé",IF(B9="SK",IF($E9=20,IF(AND($J9&gt;12,$J9&lt;=21),($J9-12)*Schedule!$C$14*'Import - recap'!$D9,IF($J9&gt;21,9*Schedule!$C$14*'Import - recap'!$D9)+(IF($J9&gt;21,(($J9-21)*Schedule!$C$15*'Import - recap'!$D9)))),IF(AND($J9&gt;12,$J9&lt;=21),($J9-12)*Schedule!$D$14*'Import - recap'!$D9,IF($J9&gt;21,9*Schedule!$D$14*'Import - recap'!$D9)+(IF($J9&gt;21,(($J9-21)*Schedule!$D$15*'Import - recap'!$D9))))),IF(B9="Company 1",IF($E9=20,IF(AND($J9&gt;12,$J9&lt;=21),($J9-12)*Schedule!$C$16*'Import - recap'!$D9,IF($J9&gt;21,9*Schedule!$C$16*'Import - recap'!$D9)+(IF($J9&gt;21,(($J9-21)*Schedule!$C$17*'Import - recap'!$D9)))),IF(AND($J9&gt;12,$J9&lt;=21),($J9-12)*Schedule!$D$16*'Import - recap'!$D9,IF($J9&gt;21,9*Schedule!$D$16*'Import - recap'!$D9)+(IF($J9&gt;21,(($J9-21)*Schedule!$D$17*'Import - recap'!$D9))))),IF(B9="Company 2",IF($E9=20,IF(AND($J9&gt;12,$J9&lt;=21),($J9-12)*Schedule!$C$18*'Import - recap'!$D9,IF($J9&gt;21,9*Schedule!$C$18*'Import - recap'!$D9)+(IF($J9&gt;21,(($J9-21)*Schedule!$C$19*'Import - recap'!$D9)))),IF(AND($J9&gt;12,$J9&lt;=21),($J9-12)*Schedule!$D$18*'Import - recap'!$D9,IF($J9&gt;21,9*Schedule!$D$18*'Import - recap'!$D9)+(IF($J9&gt;21,(($J9-21)*Schedule!$D$19*'Import - recap'!$D9)))))))),IF($G9="arrivé a l'usine non payé",IF(B9="SK",IF($E9=20,IF(AND($J9&gt;12,$J9&lt;=21),($J9-12)*Schedule!$C$14*'Import - recap'!$D9,IF($J9&gt;21,9*Schedule!$C$14*'Import - recap'!$D9)+(IF($J9&gt;21,(($J9-21)*Schedule!$C$15*'Import - recap'!$D9)))),IF(AND($J9&gt;12,$J9&lt;=21),($J9-12)*Schedule!$D$14*'Import - recap'!$D9,IF($J9&gt;21,9*Schedule!$D$14*'Import - recap'!$D9)+(IF($J9&gt;21,(($J9-21)*Schedule!$D$15*'Import - recap'!$D9))))),IF(B9="Company 1",IF($E9=20,IF(AND($J9&gt;12,$J9&lt;=21),($J9-12)*Schedule!$C$16*'Import - recap'!$D9,IF($J9&gt;21,9*Schedule!$C$16*'Import - recap'!$D9)+(IF($J9&gt;21,(($J9-21)*Schedule!$C$17*'Import - recap'!$D9)))),IF(AND($J9&gt;12,$J9&lt;=21),($J9-12)*Schedule!$D$16*'Import - recap'!$D9,IF($J9&gt;21,9*Schedule!$D$16*'Import - recap'!$D9)+(IF($J9&gt;21,(($J9-21)*Schedule!$D$17*'Import - recap'!$D9))))),IF(B9="Company 2",IF($E9=20,IF(AND($J9&gt;12,$J9&lt;=21),($J9-12)*Schedule!$C$18*'Import - recap'!$D9,IF($J9&gt;21,9*Schedule!$C$18*'Import - recap'!$D9)+(IF($J9&gt;21,(($J9-21)*Schedule!$C$19*'Import - recap'!$D9)))),IF(AND($J9&gt;12,$J9&lt;=21),($J9-12)*Schedule!$D$18*'Import - recap'!$D9,IF($J9&gt;21,9*Schedule!$D$18*'Import - recap'!$D9)+(IF($J9&gt;21,(($J9-21)*Schedule!$D$19*'Import - recap'!$D9)))))))))),SUMIFS('Import Record Details'!$O:$O,'Import Record Details'!$A:$A,'Import - recap'!$A9,'Import Record Details'!$F:$F,'Import - recap'!$AZ$3))</f>
        <v>0</v>
      </c>
      <c r="BA9" s="17" t="str">
        <f t="shared" si="31"/>
        <v/>
      </c>
      <c r="BB9" s="17">
        <f t="shared" si="32"/>
        <v>0</v>
      </c>
      <c r="BC9" s="57" t="e">
        <f t="shared" si="33"/>
        <v>#VALUE!</v>
      </c>
    </row>
    <row r="10" spans="1:55" ht="25.5" customHeight="1" x14ac:dyDescent="0.25">
      <c r="A10" s="3"/>
      <c r="B10" s="3"/>
      <c r="C10" s="3"/>
      <c r="D10" s="3"/>
      <c r="E10" s="3"/>
      <c r="F10" s="40"/>
      <c r="G10" s="52"/>
      <c r="H10" s="20"/>
      <c r="I10" s="20"/>
      <c r="J10" s="31">
        <f t="shared" ca="1" si="24"/>
        <v>45980</v>
      </c>
      <c r="K10" s="31"/>
      <c r="L10" s="19"/>
      <c r="M10" s="10"/>
      <c r="N10" s="11"/>
      <c r="O10" s="20"/>
      <c r="P10" s="12"/>
      <c r="Q10" s="21"/>
      <c r="R10" s="13"/>
      <c r="S10" s="3"/>
      <c r="T10" s="77"/>
      <c r="U10" s="18">
        <f>+SUMIFS('Import Record Details'!$M:$M,'Import Record Details'!$A:$A,'Import - recap'!$A10)</f>
        <v>0</v>
      </c>
      <c r="V10" s="14" t="e">
        <f t="shared" si="25"/>
        <v>#DIV/0!</v>
      </c>
      <c r="W10" s="14"/>
      <c r="X10" s="14" t="str">
        <f t="shared" si="1"/>
        <v/>
      </c>
      <c r="Y10" s="49" t="b">
        <f>IF($G10="Arrived at Port",IF($E10&lt;&gt;"",IF($E10=20,IF($J10&lt;2,0,IF($J10&lt;=7,(($J10-2)*Schedule!$C$3*$D10),5*Schedule!$C$3*$D10))+IF(AND($J10&gt;7,$J10&lt;=15),($J10-7)*Schedule!$C$4*$D10,IF($J10&gt;15,8*Schedule!$C$4*$D10))+(IF($J10&gt;15,(($J10-15)*Schedule!$C$5*'Import - recap'!$D10),0))+IF($J10&lt;=5,(($J10-0)*Schedule!$C$6*'Import - recap'!$D10),5*Schedule!$C$6*'Import - recap'!$D10)+IF(AND($J10&gt;5,$J10&lt;=10),($J10-5)*Schedule!$C$7*'Import - recap'!$D10,IF($J10&gt;10,5*Schedule!$C$7*'Import - recap'!$D10)+IF(AND($J10&gt;10,$J10&lt;=15),($J10-10)*Schedule!$C$8*'Import - recap'!$D10,IF($J10&gt;15,5*Schedule!$C$8*'Import - recap'!$D10)+IF(AND($J10&gt;15,$J10&lt;=45),($J10-15)*Schedule!$C$9*'Import - recap'!$D10,IF($J10&gt;45,30*Schedule!$C$9*'Import - recap'!$D10)+(IF($J10&gt;45,(($J10-45)*Schedule!$C$9*'Import - recap'!$D10))))))+($J10*$D10*Schedule!$C$2),IF($J10&lt;2,0,IF($J10&lt;=7,(($J10-2)*Schedule!$D$3*$D10),5*Schedule!$D$3*$D10))+IF(AND($J10&gt;7,$J10&lt;=15),($J10-7)*Schedule!$D$4*$D10,IF($J10&gt;15,8*Schedule!$D$4*$D10))+(IF($J10&gt;15,(($J10-15)*Schedule!$D$5*'Import - recap'!$D10),0))+IF($J10&lt;=5,(($J10-0)*Schedule!$D$6*'Import - recap'!$D10),5*Schedule!$D$6*'Import - recap'!$D10)+IF(AND($J10&gt;5,$J10&lt;=10),($J10-5)*Schedule!$D$7*'Import - recap'!$D10,IF($J10&gt;10,5*Schedule!$D$7*'Import - recap'!$D10)+IF(AND($J10&gt;10,$J10&lt;=15),($J10-10)*Schedule!$D$8*'Import - recap'!$D10,IF($J10&gt;15,5*Schedule!$D$8*'Import - recap'!$D10)+IF(AND($J10&gt;15,$J10&lt;=45),($J10-15)*Schedule!$D$9*'Import - recap'!$D10,IF($J10&gt;45,30*Schedule!$D$9*'Import - recap'!$D10)+(IF($J10&gt;45,(($J10-45)*Schedule!$D$9*'Import - recap'!$D10))))))+($J10*$D10*Schedule!$D$2)),"erreur"),IF($G10="Paid, Not Yet Arrived at Factory",IF($E10&lt;&gt;"",IF($E10=20,IF($J10&lt;2,0,IF($J10&lt;=7,(($J10-2)*Schedule!$C$3*$D10),5*Schedule!$C$3*$D10))+IF(AND($J10&gt;7,$J10&lt;=15),($J10-7)*Schedule!$C$4*$D10,IF($J10&gt;15,8*Schedule!$C$4*$D10))+(IF($J10&gt;15,(($J10-15)*Schedule!$C$5*'Import - recap'!$D10),0))+IF($J10&lt;=5,(($J10-0)*Schedule!$C$6*'Import - recap'!$D10),5*Schedule!$C$6*'Import - recap'!$D10)+IF(AND($J10&gt;5,$J10&lt;=10),($J10-5)*Schedule!$C$7*'Import - recap'!$D10,IF($J10&gt;10,5*Schedule!$C$7*'Import - recap'!$D10)+IF(AND($J10&gt;10,$J10&lt;=15),($J10-10)*Schedule!$C$8*'Import - recap'!$D10,IF($J10&gt;15,5*Schedule!$C$8*'Import - recap'!$D10)+IF(AND($J10&gt;15,$J10&lt;=45),($J10-15)*Schedule!$C$9*'Import - recap'!$D10,IF($J10&gt;45,30*Schedule!$C$9*'Import - recap'!$D10)+(IF($J10&gt;45,(($J10-45)*Schedule!$C$9*'Import - recap'!$D10))))))+($J10*$D10*Schedule!$C$2),IF($J10&lt;2,0,IF($J10&lt;=7,(($J10-2)*Schedule!$D$3*$D10),5*Schedule!$D$3*$D10))+IF(AND($J10&gt;7,$J10&lt;=15),($J10-7)*Schedule!$D$4*$D10,IF($J10&gt;15,8*Schedule!$D$4*$D10))+(IF($J10&gt;15,(($J10-15)*Schedule!$D$5*'Import - recap'!$D10),0))+IF($J10&lt;=5,(($J10-0)*Schedule!$D$6*'Import - recap'!$D10),5*Schedule!$D$6*'Import - recap'!$D10)+IF(AND($J10&gt;5,$J10&lt;=10),($J10-5)*Schedule!$D$7*'Import - recap'!$D10,IF($J10&gt;10,5*Schedule!$D$7*'Import - recap'!$D10)+IF(AND($J10&gt;10,$J10&lt;=15),($J10-10)*Schedule!$D$8*'Import - recap'!$D10,IF($J10&gt;15,5*Schedule!$D$8*'Import - recap'!$D10)+IF(AND($J10&gt;15,$J10&lt;=45),($J10-15)*Schedule!$D$9*'Import - recap'!$D10,IF($J10&gt;45,30*Schedule!$D$9*'Import - recap'!$D10)+(IF($J10&gt;45,(($J10-45)*Schedule!$D$9*'Import - recap'!$D10))))))+($J10*$D10*Schedule!$D$2)),"erreur")))</f>
        <v>0</v>
      </c>
      <c r="Z10" s="41" t="b">
        <f>IF($G10="Arrived at Port",IF(B10="SK",IF($E10=20,IF(AND($J10&gt;12,$J10&lt;=21),($J10-12)*Schedule!$C$14*'Import - recap'!$D10,IF($J10&gt;21,9*Schedule!$C$14*'Import - recap'!$D10)+(IF($J10&gt;21,(($J10-21)*Schedule!$C$15*'Import - recap'!$D10)))),IF(AND($J10&gt;12,$J10&lt;=21),($J10-12)*Schedule!$D$14*'Import - recap'!$D10,IF($J10&gt;21,9*Schedule!$D$14*'Import - recap'!$D10)+(IF($J10&gt;21,(($J10-21)*Schedule!$D$15*'Import - recap'!$D10))))),IF(B10="Company 1",IF($E10=20,IF(AND($J10&gt;12,$J10&lt;=21),($J10-12)*Schedule!$C$16*'Import - recap'!$D10,IF($J10&gt;21,9*Schedule!$C$16*'Import - recap'!$D10)+(IF($J10&gt;21,(($J10-21)*Schedule!$C$17*'Import - recap'!$D10)))),IF(AND($J10&gt;12,$J10&lt;=21),($J10-12)*Schedule!$D$16*'Import - recap'!$D10,IF($J10&gt;21,9*Schedule!$D$16*'Import - recap'!$D10)+(IF($J10&gt;21,(($J10-21)*Schedule!$D$17*'Import - recap'!$D10))))),IF(B10="Company 2",IF($E10=20,IF(AND($J10&gt;12,$J10&lt;=21),($J10-12)*Schedule!$C$18*'Import - recap'!$D10,IF($J10&gt;21,9*Schedule!$C$18*'Import - recap'!$D10)+(IF($J10&gt;21,(($J10-21)*Schedule!$C$19*'Import - recap'!$D10)))),IF(AND($J10&gt;12,$J10&lt;=21),($J10-12)*Schedule!$D$18*'Import - recap'!$D10,IF($J10&gt;21,9*Schedule!$D$18*'Import - recap'!$D10)+(IF($J10&gt;21,(($J10-21)*Schedule!$D$19*'Import - recap'!$D10)))))))),IF($G10="Paid, Not Yet Arrived at Factory",IF(B10="SK",IF($E10=20,IF(AND($J10&gt;12,$J10&lt;=21),($J10-12)*Schedule!$C$14*'Import - recap'!$D10,IF($J10&gt;21,9*Schedule!$C$14*'Import - recap'!$D10)+(IF($J10&gt;21,(($J10-21)*Schedule!$C$15*'Import - recap'!$D10)))),IF(AND($J10&gt;12,$J10&lt;=21),($J10-12)*Schedule!$D$14*'Import - recap'!$D10,IF($J10&gt;21,9*Schedule!$D$14*'Import - recap'!$D10)+(IF($J10&gt;21,(($J10-21)*Schedule!$D$15*'Import - recap'!$D10))))),IF(B10="Company 1",IF($E10=20,IF(AND($J10&gt;12,$J10&lt;=21),($J10-12)*Schedule!$C$16*'Import - recap'!$D10,IF($J10&gt;21,9*Schedule!$C$16*'Import - recap'!$D10)+(IF($J10&gt;21,(($J10-21)*Schedule!$C$17*'Import - recap'!$D10)))),IF(AND($J10&gt;12,$J10&lt;=21),($J10-12)*Schedule!$D$16*'Import - recap'!$D10,IF($J10&gt;21,9*Schedule!$D$16*'Import - recap'!$D10)+(IF($J10&gt;21,(($J10-21)*Schedule!$D$17*'Import - recap'!$D10))))),IF(B10="Company 2",IF($E10=20,IF(AND($J10&gt;12,$J10&lt;=21),($J10-12)*Schedule!$C$18*'Import - recap'!$D10,IF($J10&gt;21,9*Schedule!$C$18*'Import - recap'!$D10)+(IF($J10&gt;21,(($J10-21)*Schedule!$C$19*'Import - recap'!$D10)))),IF(AND($J10&gt;12,$J10&lt;=21),($J10-12)*Schedule!$D$18*'Import - recap'!$D10,IF($J10&gt;21,9*Schedule!$D$18*'Import - recap'!$D10)+(IF($J10&gt;21,(($J10-21)*Schedule!$D$19*'Import - recap'!$D10))))))))))</f>
        <v>0</v>
      </c>
      <c r="AA10" s="14" t="str">
        <f t="shared" si="2"/>
        <v>0</v>
      </c>
      <c r="AB10" s="14" t="str">
        <f t="shared" si="22"/>
        <v/>
      </c>
      <c r="AC10" s="14" t="str">
        <f t="shared" si="3"/>
        <v/>
      </c>
      <c r="AD10" s="14" t="str">
        <f t="shared" si="4"/>
        <v/>
      </c>
      <c r="AE10" s="14" t="str">
        <f t="shared" si="5"/>
        <v/>
      </c>
      <c r="AF10" s="14" t="str">
        <f t="shared" si="6"/>
        <v/>
      </c>
      <c r="AG10" s="70" t="str">
        <f t="shared" si="26"/>
        <v/>
      </c>
      <c r="AH10" s="70" t="str">
        <f t="shared" si="27"/>
        <v/>
      </c>
      <c r="AI10" s="72" t="str">
        <f t="shared" si="9"/>
        <v/>
      </c>
      <c r="AJ10" s="34" t="str">
        <f t="shared" si="10"/>
        <v/>
      </c>
      <c r="AK10" s="34" t="str">
        <f t="shared" si="11"/>
        <v/>
      </c>
      <c r="AL10" s="54" t="str">
        <f t="shared" si="28"/>
        <v/>
      </c>
      <c r="AM10" s="49" t="b">
        <f>IF($G10="Arrived at Port",IF($E10&lt;&gt;"",IF($E10=20,IF($J10&lt;2,0,IF($J10&lt;=7,(($J10-2)*Schedule!$C$3*$D10),5*Schedule!$C$3*$D10))+IF(AND($J10&gt;7,$J10&lt;=15),($J10-7)*Schedule!$C$4*$D10,IF($J10&gt;15,8*Schedule!$C$4*$D10))+(IF($J10&gt;15,(($J10-15)*Schedule!$C$5*'Import - recap'!$D10),0))+IF($J10&lt;=5,(($J10-0)*Schedule!$C$6*'Import - recap'!$D10),5*Schedule!$C$6*'Import - recap'!$D10)+IF(AND($J10&gt;5,$J10&lt;=10),($J10-5)*Schedule!$C$7*'Import - recap'!$D10,IF($J10&gt;10,5*Schedule!$C$7*'Import - recap'!$D10)+IF(AND($J10&gt;10,$J10&lt;=15),($J10-10)*Schedule!$C$8*'Import - recap'!$D10,IF($J10&gt;15,5*Schedule!$C$8*'Import - recap'!$D10)+IF(AND($J10&gt;15,$J10&lt;=45),($J10-15)*Schedule!$C$9*'Import - recap'!$D10,IF($J10&gt;45,30*Schedule!$C$9*'Import - recap'!$D10)+(IF($J10&gt;45,(($J10-45)*Schedule!$C$9*'Import - recap'!$D10))))))+($J10*$D10*Schedule!$C$2),IF($J10&lt;2,0,IF($J10&lt;=7,(($J10-2)*Schedule!$D$3*$D10),5*Schedule!$D$3*$D10))+IF(AND($J10&gt;7,$J10&lt;=15),($J10-7)*Schedule!$D$4*$D10,IF($J10&gt;15,8*Schedule!$D$4*$D10))+(IF($J10&gt;15,(($J10-15)*Schedule!$D$5*'Import - recap'!$D10),0))+IF($J10&lt;=5,(($J10-0)*Schedule!$D$6*'Import - recap'!$D10),5*Schedule!$D$6*'Import - recap'!$D10)+IF(AND($J10&gt;5,$J10&lt;=10),($J10-5)*Schedule!$D$7*'Import - recap'!$D10,IF($J10&gt;10,5*Schedule!$D$7*'Import - recap'!$D10)+IF(AND($J10&gt;10,$J10&lt;=15),($J10-10)*Schedule!$D$8*'Import - recap'!$D10,IF($J10&gt;15,5*Schedule!$D$8*'Import - recap'!$D10)+IF(AND($J10&gt;15,$J10&lt;=45),($J10-15)*Schedule!$D$9*'Import - recap'!$D10,IF($J10&gt;45,30*Schedule!$D$9*'Import - recap'!$D10)+(IF($J10&gt;45,(($J10-45)*Schedule!$D$9*'Import - recap'!$D10))))))+($J10*$D10*Schedule!$D$2)),"erreur"),IF($G10="Paid, Not Yet Arrived at Factory",IF($E10&lt;&gt;"",IF($E10=20,IF($J10&lt;2,0,IF($J10&lt;=7,(($J10-2)*Schedule!$C$3*$D10),5*Schedule!$C$3*$D10))+IF(AND($J10&gt;7,$J10&lt;=15),($J10-7)*Schedule!$C$4*$D10,IF($J10&gt;15,8*Schedule!$C$4*$D10))+(IF($J10&gt;15,(($J10-15)*Schedule!$C$5*'Import - recap'!$D10),0))+IF($J10&lt;=5,(($J10-0)*Schedule!$C$6*'Import - recap'!$D10),5*Schedule!$C$6*'Import - recap'!$D10)+IF(AND($J10&gt;5,$J10&lt;=10),($J10-5)*Schedule!$C$7*'Import - recap'!$D10,IF($J10&gt;10,5*Schedule!$C$7*'Import - recap'!$D10)+IF(AND($J10&gt;10,$J10&lt;=15),($J10-10)*Schedule!$C$8*'Import - recap'!$D10,IF($J10&gt;15,5*Schedule!$C$8*'Import - recap'!$D10)+IF(AND($J10&gt;15,$J10&lt;=45),($J10-15)*Schedule!$C$9*'Import - recap'!$D10,IF($J10&gt;45,30*Schedule!$C$9*'Import - recap'!$D10)+(IF($J10&gt;45,(($J10-45)*Schedule!$C$9*'Import - recap'!$D10))))))+($J10*$D10*Schedule!$C$2),IF($J10&lt;2,0,IF($J10&lt;=7,(($J10-2)*Schedule!$D$3*$D10),5*Schedule!$D$3*$D10))+IF(AND($J10&gt;7,$J10&lt;=15),($J10-7)*Schedule!$D$4*$D10,IF($J10&gt;15,8*Schedule!$D$4*$D10))+(IF($J10&gt;15,(($J10-15)*Schedule!$D$5*'Import - recap'!$D10),0))+IF($J10&lt;=5,(($J10-0)*Schedule!$D$6*'Import - recap'!$D10),5*Schedule!$D$6*'Import - recap'!$D10)+IF(AND($J10&gt;5,$J10&lt;=10),($J10-5)*Schedule!$D$7*'Import - recap'!$D10,IF($J10&gt;10,5*Schedule!$D$7*'Import - recap'!$D10)+IF(AND($J10&gt;10,$J10&lt;=15),($J10-10)*Schedule!$D$8*'Import - recap'!$D10,IF($J10&gt;15,5*Schedule!$D$8*'Import - recap'!$D10)+IF(AND($J10&gt;15,$J10&lt;=45),($J10-15)*Schedule!$D$9*'Import - recap'!$D10,IF($J10&gt;45,30*Schedule!$D$9*'Import - recap'!$D10)+(IF($J10&gt;45,(($J10-45)*Schedule!$D$9*'Import - recap'!$D10))))))+($J10*$D10*Schedule!$D$2)),"erreur")))</f>
        <v>0</v>
      </c>
      <c r="AN10" s="14" t="str">
        <f t="shared" si="13"/>
        <v>0</v>
      </c>
      <c r="AO10" s="14"/>
      <c r="AP10" s="14" t="str">
        <f>IF(SUMIFS('Import Record Details'!$O:$O,'Import Record Details'!$F:$F,'Import - recap'!$AP$3,'Import Record Details'!$A:$A,'Import - recap'!$A10)=0,IF($G10="Arrived at Port",$X10*0.04%,IF($G10="arrivé a l'usine non payé",$X10*0.04%,IF($G10="Paid, Not Yet Arrived at Factory",$X10*0.04%,""))),SUMIFS('Import Record Details'!$O:$O,'Import Record Details'!$F:$F,'Import - recap'!$AP$3,'Import Record Details'!$A:$A,'Import - recap'!$A10))</f>
        <v/>
      </c>
      <c r="AQ10" s="14" t="str">
        <f>IF(SUMIFS('Import Record Details'!$O:$O,'Import Record Details'!$F:$F,'Import - recap'!$AQ$3,'Import Record Details'!$A:$A,'Import - recap'!$A10)=0,IF($G10="Arrived at Port",$D10*650,IF($G10="arrivé a l'usine non payé",$D10*650,IF($G10="Paid, Not Yet Arrived at Factory",$D10*650,""))),SUMIFS('Import Record Details'!$O:$O,'Import Record Details'!$F:$F,'Import - recap'!$AQ$3,'Import Record Details'!$A:$A,'Import - recap'!$A10))</f>
        <v/>
      </c>
      <c r="AR10" s="14" t="str">
        <f>IF(SUMIFS('Import Record Details'!$O:$O,'Import Record Details'!$F:$F,'Import - recap'!$AR$3,'Import Record Details'!$A:$A,'Import - recap'!$A10)=0,IF($G10="Arrived at Port",$X10*0.2%,IF($G10="arrivé a l'usine non payé",$X10*0.2%,IF($G10="Paid, Not Yet Arrived at Factory",$X10*0.2%,""))),SUMIFS('Import Record Details'!$O:$O,'Import Record Details'!$F:$F,'Import - recap'!$AR$3,'Import Record Details'!$A:$A,'Import - recap'!$A10))</f>
        <v/>
      </c>
      <c r="AS10" s="14" t="str">
        <f>IF(SUMIFS('Import Record Details'!$O:$O,'Import Record Details'!$F:$F,'Import - recap'!$AS$3,'Import Record Details'!$A:$A,'Import - recap'!$A10)=0,IF($G10="Arrived at Port",$X10*0.06%,IF($G10="arrivé a l'usine non payé",$X10*0.06%,IF($G10="Paid, Not Yet Arrived at Factory",$X10*0.06%,""))),SUMIFS('Import Record Details'!$O:$O,'Import Record Details'!$F:$F,'Import - recap'!$AS$3,'Import Record Details'!$A:$A,'Import - recap'!$A10))</f>
        <v/>
      </c>
      <c r="AT10" s="54"/>
      <c r="AU10" s="72" t="str">
        <f t="shared" si="14"/>
        <v/>
      </c>
      <c r="AV10" s="15">
        <f t="shared" si="29"/>
        <v>0</v>
      </c>
      <c r="AW10" s="15" t="str">
        <f t="shared" si="30"/>
        <v/>
      </c>
      <c r="AX10" s="76" t="b">
        <f t="shared" si="16"/>
        <v>0</v>
      </c>
      <c r="AY10" s="17">
        <f>SUMIFS('Import Record Details'!$O:$O,'Import Record Details'!$A:$A,'Import - recap'!$A10)</f>
        <v>0</v>
      </c>
      <c r="AZ10" s="16" t="b">
        <f>IF((+SUMIFS('Import Record Details'!$O:$O,'Import Record Details'!$A:$A,'Import - recap'!$A10,'Import Record Details'!$F:$F,'Import - recap'!$AZ$3)=0),IF($G10="cloturé",IF(B10="SK",IF($E10=20,IF(AND($J10&gt;12,$J10&lt;=21),($J10-12)*Schedule!$C$14*'Import - recap'!$D10,IF($J10&gt;21,9*Schedule!$C$14*'Import - recap'!$D10)+(IF($J10&gt;21,(($J10-21)*Schedule!$C$15*'Import - recap'!$D10)))),IF(AND($J10&gt;12,$J10&lt;=21),($J10-12)*Schedule!$D$14*'Import - recap'!$D10,IF($J10&gt;21,9*Schedule!$D$14*'Import - recap'!$D10)+(IF($J10&gt;21,(($J10-21)*Schedule!$D$15*'Import - recap'!$D10))))),IF(B10="Company 1",IF($E10=20,IF(AND($J10&gt;12,$J10&lt;=21),($J10-12)*Schedule!$C$16*'Import - recap'!$D10,IF($J10&gt;21,9*Schedule!$C$16*'Import - recap'!$D10)+(IF($J10&gt;21,(($J10-21)*Schedule!$C$17*'Import - recap'!$D10)))),IF(AND($J10&gt;12,$J10&lt;=21),($J10-12)*Schedule!$D$16*'Import - recap'!$D10,IF($J10&gt;21,9*Schedule!$D$16*'Import - recap'!$D10)+(IF($J10&gt;21,(($J10-21)*Schedule!$D$17*'Import - recap'!$D10))))),IF(B10="Company 2",IF($E10=20,IF(AND($J10&gt;12,$J10&lt;=21),($J10-12)*Schedule!$C$18*'Import - recap'!$D10,IF($J10&gt;21,9*Schedule!$C$18*'Import - recap'!$D10)+(IF($J10&gt;21,(($J10-21)*Schedule!$C$19*'Import - recap'!$D10)))),IF(AND($J10&gt;12,$J10&lt;=21),($J10-12)*Schedule!$D$18*'Import - recap'!$D10,IF($J10&gt;21,9*Schedule!$D$18*'Import - recap'!$D10)+(IF($J10&gt;21,(($J10-21)*Schedule!$D$19*'Import - recap'!$D10)))))))),IF($G10="arrivé a l'usine non payé",IF(B10="SK",IF($E10=20,IF(AND($J10&gt;12,$J10&lt;=21),($J10-12)*Schedule!$C$14*'Import - recap'!$D10,IF($J10&gt;21,9*Schedule!$C$14*'Import - recap'!$D10)+(IF($J10&gt;21,(($J10-21)*Schedule!$C$15*'Import - recap'!$D10)))),IF(AND($J10&gt;12,$J10&lt;=21),($J10-12)*Schedule!$D$14*'Import - recap'!$D10,IF($J10&gt;21,9*Schedule!$D$14*'Import - recap'!$D10)+(IF($J10&gt;21,(($J10-21)*Schedule!$D$15*'Import - recap'!$D10))))),IF(B10="Company 1",IF($E10=20,IF(AND($J10&gt;12,$J10&lt;=21),($J10-12)*Schedule!$C$16*'Import - recap'!$D10,IF($J10&gt;21,9*Schedule!$C$16*'Import - recap'!$D10)+(IF($J10&gt;21,(($J10-21)*Schedule!$C$17*'Import - recap'!$D10)))),IF(AND($J10&gt;12,$J10&lt;=21),($J10-12)*Schedule!$D$16*'Import - recap'!$D10,IF($J10&gt;21,9*Schedule!$D$16*'Import - recap'!$D10)+(IF($J10&gt;21,(($J10-21)*Schedule!$D$17*'Import - recap'!$D10))))),IF(B10="Company 2",IF($E10=20,IF(AND($J10&gt;12,$J10&lt;=21),($J10-12)*Schedule!$C$18*'Import - recap'!$D10,IF($J10&gt;21,9*Schedule!$C$18*'Import - recap'!$D10)+(IF($J10&gt;21,(($J10-21)*Schedule!$C$19*'Import - recap'!$D10)))),IF(AND($J10&gt;12,$J10&lt;=21),($J10-12)*Schedule!$D$18*'Import - recap'!$D10,IF($J10&gt;21,9*Schedule!$D$18*'Import - recap'!$D10)+(IF($J10&gt;21,(($J10-21)*Schedule!$D$19*'Import - recap'!$D10)))))))))),SUMIFS('Import Record Details'!$O:$O,'Import Record Details'!$A:$A,'Import - recap'!$A10,'Import Record Details'!$F:$F,'Import - recap'!$AZ$3))</f>
        <v>0</v>
      </c>
      <c r="BA10" s="17" t="str">
        <f t="shared" si="31"/>
        <v/>
      </c>
      <c r="BB10" s="17">
        <f t="shared" si="32"/>
        <v>0</v>
      </c>
      <c r="BC10" s="57" t="e">
        <f t="shared" si="33"/>
        <v>#VALUE!</v>
      </c>
    </row>
    <row r="11" spans="1:55" ht="25.5" customHeight="1" x14ac:dyDescent="0.25">
      <c r="A11" s="3"/>
      <c r="B11" s="3"/>
      <c r="C11" s="3"/>
      <c r="D11" s="3"/>
      <c r="E11" s="3"/>
      <c r="F11" s="40"/>
      <c r="G11" s="52"/>
      <c r="H11" s="20"/>
      <c r="I11" s="20"/>
      <c r="J11" s="31">
        <f t="shared" ca="1" si="24"/>
        <v>45980</v>
      </c>
      <c r="K11" s="31"/>
      <c r="L11" s="19"/>
      <c r="M11" s="10"/>
      <c r="N11" s="11"/>
      <c r="O11" s="20"/>
      <c r="P11" s="12"/>
      <c r="Q11" s="21"/>
      <c r="R11" s="13"/>
      <c r="S11" s="3"/>
      <c r="T11" s="77"/>
      <c r="U11" s="18">
        <f>+SUMIFS('Import Record Details'!$M:$M,'Import Record Details'!$A:$A,'Import - recap'!$A11)</f>
        <v>0</v>
      </c>
      <c r="V11" s="14" t="e">
        <f t="shared" si="25"/>
        <v>#DIV/0!</v>
      </c>
      <c r="W11" s="14"/>
      <c r="X11" s="14" t="str">
        <f t="shared" si="1"/>
        <v/>
      </c>
      <c r="Y11" s="49" t="b">
        <f>IF($G11="Arrived at Port",IF($E11&lt;&gt;"",IF($E11=20,IF($J11&lt;2,0,IF($J11&lt;=7,(($J11-2)*Schedule!$C$3*$D11),5*Schedule!$C$3*$D11))+IF(AND($J11&gt;7,$J11&lt;=15),($J11-7)*Schedule!$C$4*$D11,IF($J11&gt;15,8*Schedule!$C$4*$D11))+(IF($J11&gt;15,(($J11-15)*Schedule!$C$5*'Import - recap'!$D11),0))+IF($J11&lt;=5,(($J11-0)*Schedule!$C$6*'Import - recap'!$D11),5*Schedule!$C$6*'Import - recap'!$D11)+IF(AND($J11&gt;5,$J11&lt;=10),($J11-5)*Schedule!$C$7*'Import - recap'!$D11,IF($J11&gt;10,5*Schedule!$C$7*'Import - recap'!$D11)+IF(AND($J11&gt;10,$J11&lt;=15),($J11-10)*Schedule!$C$8*'Import - recap'!$D11,IF($J11&gt;15,5*Schedule!$C$8*'Import - recap'!$D11)+IF(AND($J11&gt;15,$J11&lt;=45),($J11-15)*Schedule!$C$9*'Import - recap'!$D11,IF($J11&gt;45,30*Schedule!$C$9*'Import - recap'!$D11)+(IF($J11&gt;45,(($J11-45)*Schedule!$C$9*'Import - recap'!$D11))))))+($J11*$D11*Schedule!$C$2),IF($J11&lt;2,0,IF($J11&lt;=7,(($J11-2)*Schedule!$D$3*$D11),5*Schedule!$D$3*$D11))+IF(AND($J11&gt;7,$J11&lt;=15),($J11-7)*Schedule!$D$4*$D11,IF($J11&gt;15,8*Schedule!$D$4*$D11))+(IF($J11&gt;15,(($J11-15)*Schedule!$D$5*'Import - recap'!$D11),0))+IF($J11&lt;=5,(($J11-0)*Schedule!$D$6*'Import - recap'!$D11),5*Schedule!$D$6*'Import - recap'!$D11)+IF(AND($J11&gt;5,$J11&lt;=10),($J11-5)*Schedule!$D$7*'Import - recap'!$D11,IF($J11&gt;10,5*Schedule!$D$7*'Import - recap'!$D11)+IF(AND($J11&gt;10,$J11&lt;=15),($J11-10)*Schedule!$D$8*'Import - recap'!$D11,IF($J11&gt;15,5*Schedule!$D$8*'Import - recap'!$D11)+IF(AND($J11&gt;15,$J11&lt;=45),($J11-15)*Schedule!$D$9*'Import - recap'!$D11,IF($J11&gt;45,30*Schedule!$D$9*'Import - recap'!$D11)+(IF($J11&gt;45,(($J11-45)*Schedule!$D$9*'Import - recap'!$D11))))))+($J11*$D11*Schedule!$D$2)),"erreur"),IF($G11="Paid, Not Yet Arrived at Factory",IF($E11&lt;&gt;"",IF($E11=20,IF($J11&lt;2,0,IF($J11&lt;=7,(($J11-2)*Schedule!$C$3*$D11),5*Schedule!$C$3*$D11))+IF(AND($J11&gt;7,$J11&lt;=15),($J11-7)*Schedule!$C$4*$D11,IF($J11&gt;15,8*Schedule!$C$4*$D11))+(IF($J11&gt;15,(($J11-15)*Schedule!$C$5*'Import - recap'!$D11),0))+IF($J11&lt;=5,(($J11-0)*Schedule!$C$6*'Import - recap'!$D11),5*Schedule!$C$6*'Import - recap'!$D11)+IF(AND($J11&gt;5,$J11&lt;=10),($J11-5)*Schedule!$C$7*'Import - recap'!$D11,IF($J11&gt;10,5*Schedule!$C$7*'Import - recap'!$D11)+IF(AND($J11&gt;10,$J11&lt;=15),($J11-10)*Schedule!$C$8*'Import - recap'!$D11,IF($J11&gt;15,5*Schedule!$C$8*'Import - recap'!$D11)+IF(AND($J11&gt;15,$J11&lt;=45),($J11-15)*Schedule!$C$9*'Import - recap'!$D11,IF($J11&gt;45,30*Schedule!$C$9*'Import - recap'!$D11)+(IF($J11&gt;45,(($J11-45)*Schedule!$C$9*'Import - recap'!$D11))))))+($J11*$D11*Schedule!$C$2),IF($J11&lt;2,0,IF($J11&lt;=7,(($J11-2)*Schedule!$D$3*$D11),5*Schedule!$D$3*$D11))+IF(AND($J11&gt;7,$J11&lt;=15),($J11-7)*Schedule!$D$4*$D11,IF($J11&gt;15,8*Schedule!$D$4*$D11))+(IF($J11&gt;15,(($J11-15)*Schedule!$D$5*'Import - recap'!$D11),0))+IF($J11&lt;=5,(($J11-0)*Schedule!$D$6*'Import - recap'!$D11),5*Schedule!$D$6*'Import - recap'!$D11)+IF(AND($J11&gt;5,$J11&lt;=10),($J11-5)*Schedule!$D$7*'Import - recap'!$D11,IF($J11&gt;10,5*Schedule!$D$7*'Import - recap'!$D11)+IF(AND($J11&gt;10,$J11&lt;=15),($J11-10)*Schedule!$D$8*'Import - recap'!$D11,IF($J11&gt;15,5*Schedule!$D$8*'Import - recap'!$D11)+IF(AND($J11&gt;15,$J11&lt;=45),($J11-15)*Schedule!$D$9*'Import - recap'!$D11,IF($J11&gt;45,30*Schedule!$D$9*'Import - recap'!$D11)+(IF($J11&gt;45,(($J11-45)*Schedule!$D$9*'Import - recap'!$D11))))))+($J11*$D11*Schedule!$D$2)),"erreur")))</f>
        <v>0</v>
      </c>
      <c r="Z11" s="41" t="b">
        <f>IF($G11="Arrived at Port",IF(B11="SK",IF($E11=20,IF(AND($J11&gt;12,$J11&lt;=21),($J11-12)*Schedule!$C$14*'Import - recap'!$D11,IF($J11&gt;21,9*Schedule!$C$14*'Import - recap'!$D11)+(IF($J11&gt;21,(($J11-21)*Schedule!$C$15*'Import - recap'!$D11)))),IF(AND($J11&gt;12,$J11&lt;=21),($J11-12)*Schedule!$D$14*'Import - recap'!$D11,IF($J11&gt;21,9*Schedule!$D$14*'Import - recap'!$D11)+(IF($J11&gt;21,(($J11-21)*Schedule!$D$15*'Import - recap'!$D11))))),IF(B11="Company 1",IF($E11=20,IF(AND($J11&gt;12,$J11&lt;=21),($J11-12)*Schedule!$C$16*'Import - recap'!$D11,IF($J11&gt;21,9*Schedule!$C$16*'Import - recap'!$D11)+(IF($J11&gt;21,(($J11-21)*Schedule!$C$17*'Import - recap'!$D11)))),IF(AND($J11&gt;12,$J11&lt;=21),($J11-12)*Schedule!$D$16*'Import - recap'!$D11,IF($J11&gt;21,9*Schedule!$D$16*'Import - recap'!$D11)+(IF($J11&gt;21,(($J11-21)*Schedule!$D$17*'Import - recap'!$D11))))),IF(B11="Company 2",IF($E11=20,IF(AND($J11&gt;12,$J11&lt;=21),($J11-12)*Schedule!$C$18*'Import - recap'!$D11,IF($J11&gt;21,9*Schedule!$C$18*'Import - recap'!$D11)+(IF($J11&gt;21,(($J11-21)*Schedule!$C$19*'Import - recap'!$D11)))),IF(AND($J11&gt;12,$J11&lt;=21),($J11-12)*Schedule!$D$18*'Import - recap'!$D11,IF($J11&gt;21,9*Schedule!$D$18*'Import - recap'!$D11)+(IF($J11&gt;21,(($J11-21)*Schedule!$D$19*'Import - recap'!$D11)))))))),IF($G11="Paid, Not Yet Arrived at Factory",IF(B11="SK",IF($E11=20,IF(AND($J11&gt;12,$J11&lt;=21),($J11-12)*Schedule!$C$14*'Import - recap'!$D11,IF($J11&gt;21,9*Schedule!$C$14*'Import - recap'!$D11)+(IF($J11&gt;21,(($J11-21)*Schedule!$C$15*'Import - recap'!$D11)))),IF(AND($J11&gt;12,$J11&lt;=21),($J11-12)*Schedule!$D$14*'Import - recap'!$D11,IF($J11&gt;21,9*Schedule!$D$14*'Import - recap'!$D11)+(IF($J11&gt;21,(($J11-21)*Schedule!$D$15*'Import - recap'!$D11))))),IF(B11="Company 1",IF($E11=20,IF(AND($J11&gt;12,$J11&lt;=21),($J11-12)*Schedule!$C$16*'Import - recap'!$D11,IF($J11&gt;21,9*Schedule!$C$16*'Import - recap'!$D11)+(IF($J11&gt;21,(($J11-21)*Schedule!$C$17*'Import - recap'!$D11)))),IF(AND($J11&gt;12,$J11&lt;=21),($J11-12)*Schedule!$D$16*'Import - recap'!$D11,IF($J11&gt;21,9*Schedule!$D$16*'Import - recap'!$D11)+(IF($J11&gt;21,(($J11-21)*Schedule!$D$17*'Import - recap'!$D11))))),IF(B11="Company 2",IF($E11=20,IF(AND($J11&gt;12,$J11&lt;=21),($J11-12)*Schedule!$C$18*'Import - recap'!$D11,IF($J11&gt;21,9*Schedule!$C$18*'Import - recap'!$D11)+(IF($J11&gt;21,(($J11-21)*Schedule!$C$19*'Import - recap'!$D11)))),IF(AND($J11&gt;12,$J11&lt;=21),($J11-12)*Schedule!$D$18*'Import - recap'!$D11,IF($J11&gt;21,9*Schedule!$D$18*'Import - recap'!$D11)+(IF($J11&gt;21,(($J11-21)*Schedule!$D$19*'Import - recap'!$D11))))))))))</f>
        <v>0</v>
      </c>
      <c r="AA11" s="14" t="str">
        <f t="shared" si="2"/>
        <v>0</v>
      </c>
      <c r="AB11" s="14" t="str">
        <f t="shared" si="22"/>
        <v/>
      </c>
      <c r="AC11" s="14" t="str">
        <f t="shared" si="3"/>
        <v/>
      </c>
      <c r="AD11" s="14" t="str">
        <f t="shared" si="4"/>
        <v/>
      </c>
      <c r="AE11" s="14" t="str">
        <f t="shared" si="5"/>
        <v/>
      </c>
      <c r="AF11" s="14" t="str">
        <f t="shared" si="6"/>
        <v/>
      </c>
      <c r="AG11" s="70" t="str">
        <f t="shared" si="26"/>
        <v/>
      </c>
      <c r="AH11" s="70" t="str">
        <f t="shared" si="27"/>
        <v/>
      </c>
      <c r="AI11" s="72" t="str">
        <f t="shared" si="9"/>
        <v/>
      </c>
      <c r="AJ11" s="34" t="str">
        <f t="shared" si="10"/>
        <v/>
      </c>
      <c r="AK11" s="34" t="str">
        <f t="shared" si="11"/>
        <v/>
      </c>
      <c r="AL11" s="54" t="str">
        <f t="shared" si="28"/>
        <v/>
      </c>
      <c r="AM11" s="49" t="b">
        <f>IF($G11="Arrived at Port",IF($E11&lt;&gt;"",IF($E11=20,IF($J11&lt;2,0,IF($J11&lt;=7,(($J11-2)*Schedule!$C$3*$D11),5*Schedule!$C$3*$D11))+IF(AND($J11&gt;7,$J11&lt;=15),($J11-7)*Schedule!$C$4*$D11,IF($J11&gt;15,8*Schedule!$C$4*$D11))+(IF($J11&gt;15,(($J11-15)*Schedule!$C$5*'Import - recap'!$D11),0))+IF($J11&lt;=5,(($J11-0)*Schedule!$C$6*'Import - recap'!$D11),5*Schedule!$C$6*'Import - recap'!$D11)+IF(AND($J11&gt;5,$J11&lt;=10),($J11-5)*Schedule!$C$7*'Import - recap'!$D11,IF($J11&gt;10,5*Schedule!$C$7*'Import - recap'!$D11)+IF(AND($J11&gt;10,$J11&lt;=15),($J11-10)*Schedule!$C$8*'Import - recap'!$D11,IF($J11&gt;15,5*Schedule!$C$8*'Import - recap'!$D11)+IF(AND($J11&gt;15,$J11&lt;=45),($J11-15)*Schedule!$C$9*'Import - recap'!$D11,IF($J11&gt;45,30*Schedule!$C$9*'Import - recap'!$D11)+(IF($J11&gt;45,(($J11-45)*Schedule!$C$9*'Import - recap'!$D11))))))+($J11*$D11*Schedule!$C$2),IF($J11&lt;2,0,IF($J11&lt;=7,(($J11-2)*Schedule!$D$3*$D11),5*Schedule!$D$3*$D11))+IF(AND($J11&gt;7,$J11&lt;=15),($J11-7)*Schedule!$D$4*$D11,IF($J11&gt;15,8*Schedule!$D$4*$D11))+(IF($J11&gt;15,(($J11-15)*Schedule!$D$5*'Import - recap'!$D11),0))+IF($J11&lt;=5,(($J11-0)*Schedule!$D$6*'Import - recap'!$D11),5*Schedule!$D$6*'Import - recap'!$D11)+IF(AND($J11&gt;5,$J11&lt;=10),($J11-5)*Schedule!$D$7*'Import - recap'!$D11,IF($J11&gt;10,5*Schedule!$D$7*'Import - recap'!$D11)+IF(AND($J11&gt;10,$J11&lt;=15),($J11-10)*Schedule!$D$8*'Import - recap'!$D11,IF($J11&gt;15,5*Schedule!$D$8*'Import - recap'!$D11)+IF(AND($J11&gt;15,$J11&lt;=45),($J11-15)*Schedule!$D$9*'Import - recap'!$D11,IF($J11&gt;45,30*Schedule!$D$9*'Import - recap'!$D11)+(IF($J11&gt;45,(($J11-45)*Schedule!$D$9*'Import - recap'!$D11))))))+($J11*$D11*Schedule!$D$2)),"erreur"),IF($G11="Paid, Not Yet Arrived at Factory",IF($E11&lt;&gt;"",IF($E11=20,IF($J11&lt;2,0,IF($J11&lt;=7,(($J11-2)*Schedule!$C$3*$D11),5*Schedule!$C$3*$D11))+IF(AND($J11&gt;7,$J11&lt;=15),($J11-7)*Schedule!$C$4*$D11,IF($J11&gt;15,8*Schedule!$C$4*$D11))+(IF($J11&gt;15,(($J11-15)*Schedule!$C$5*'Import - recap'!$D11),0))+IF($J11&lt;=5,(($J11-0)*Schedule!$C$6*'Import - recap'!$D11),5*Schedule!$C$6*'Import - recap'!$D11)+IF(AND($J11&gt;5,$J11&lt;=10),($J11-5)*Schedule!$C$7*'Import - recap'!$D11,IF($J11&gt;10,5*Schedule!$C$7*'Import - recap'!$D11)+IF(AND($J11&gt;10,$J11&lt;=15),($J11-10)*Schedule!$C$8*'Import - recap'!$D11,IF($J11&gt;15,5*Schedule!$C$8*'Import - recap'!$D11)+IF(AND($J11&gt;15,$J11&lt;=45),($J11-15)*Schedule!$C$9*'Import - recap'!$D11,IF($J11&gt;45,30*Schedule!$C$9*'Import - recap'!$D11)+(IF($J11&gt;45,(($J11-45)*Schedule!$C$9*'Import - recap'!$D11))))))+($J11*$D11*Schedule!$C$2),IF($J11&lt;2,0,IF($J11&lt;=7,(($J11-2)*Schedule!$D$3*$D11),5*Schedule!$D$3*$D11))+IF(AND($J11&gt;7,$J11&lt;=15),($J11-7)*Schedule!$D$4*$D11,IF($J11&gt;15,8*Schedule!$D$4*$D11))+(IF($J11&gt;15,(($J11-15)*Schedule!$D$5*'Import - recap'!$D11),0))+IF($J11&lt;=5,(($J11-0)*Schedule!$D$6*'Import - recap'!$D11),5*Schedule!$D$6*'Import - recap'!$D11)+IF(AND($J11&gt;5,$J11&lt;=10),($J11-5)*Schedule!$D$7*'Import - recap'!$D11,IF($J11&gt;10,5*Schedule!$D$7*'Import - recap'!$D11)+IF(AND($J11&gt;10,$J11&lt;=15),($J11-10)*Schedule!$D$8*'Import - recap'!$D11,IF($J11&gt;15,5*Schedule!$D$8*'Import - recap'!$D11)+IF(AND($J11&gt;15,$J11&lt;=45),($J11-15)*Schedule!$D$9*'Import - recap'!$D11,IF($J11&gt;45,30*Schedule!$D$9*'Import - recap'!$D11)+(IF($J11&gt;45,(($J11-45)*Schedule!$D$9*'Import - recap'!$D11))))))+($J11*$D11*Schedule!$D$2)),"erreur")))</f>
        <v>0</v>
      </c>
      <c r="AN11" s="14" t="str">
        <f t="shared" si="13"/>
        <v>0</v>
      </c>
      <c r="AO11" s="14"/>
      <c r="AP11" s="14" t="str">
        <f>IF(SUMIFS('Import Record Details'!$O:$O,'Import Record Details'!$F:$F,'Import - recap'!$AP$3,'Import Record Details'!$A:$A,'Import - recap'!$A11)=0,IF($G11="Arrived at Port",$X11*0.04%,IF($G11="arrivé a l'usine non payé",$X11*0.04%,IF($G11="Paid, Not Yet Arrived at Factory",$X11*0.04%,""))),SUMIFS('Import Record Details'!$O:$O,'Import Record Details'!$F:$F,'Import - recap'!$AP$3,'Import Record Details'!$A:$A,'Import - recap'!$A11))</f>
        <v/>
      </c>
      <c r="AQ11" s="14" t="str">
        <f>IF(SUMIFS('Import Record Details'!$O:$O,'Import Record Details'!$F:$F,'Import - recap'!$AQ$3,'Import Record Details'!$A:$A,'Import - recap'!$A11)=0,IF($G11="Arrived at Port",$D11*650,IF($G11="arrivé a l'usine non payé",$D11*650,IF($G11="Paid, Not Yet Arrived at Factory",$D11*650,""))),SUMIFS('Import Record Details'!$O:$O,'Import Record Details'!$F:$F,'Import - recap'!$AQ$3,'Import Record Details'!$A:$A,'Import - recap'!$A11))</f>
        <v/>
      </c>
      <c r="AR11" s="14" t="str">
        <f>IF(SUMIFS('Import Record Details'!$O:$O,'Import Record Details'!$F:$F,'Import - recap'!$AR$3,'Import Record Details'!$A:$A,'Import - recap'!$A11)=0,IF($G11="Arrived at Port",$X11*0.2%,IF($G11="arrivé a l'usine non payé",$X11*0.2%,IF($G11="Paid, Not Yet Arrived at Factory",$X11*0.2%,""))),SUMIFS('Import Record Details'!$O:$O,'Import Record Details'!$F:$F,'Import - recap'!$AR$3,'Import Record Details'!$A:$A,'Import - recap'!$A11))</f>
        <v/>
      </c>
      <c r="AS11" s="14" t="str">
        <f>IF(SUMIFS('Import Record Details'!$O:$O,'Import Record Details'!$F:$F,'Import - recap'!$AS$3,'Import Record Details'!$A:$A,'Import - recap'!$A11)=0,IF($G11="Arrived at Port",$X11*0.06%,IF($G11="arrivé a l'usine non payé",$X11*0.06%,IF($G11="Paid, Not Yet Arrived at Factory",$X11*0.06%,""))),SUMIFS('Import Record Details'!$O:$O,'Import Record Details'!$F:$F,'Import - recap'!$AS$3,'Import Record Details'!$A:$A,'Import - recap'!$A11))</f>
        <v/>
      </c>
      <c r="AT11" s="54"/>
      <c r="AU11" s="72" t="str">
        <f t="shared" si="14"/>
        <v/>
      </c>
      <c r="AV11" s="15">
        <f t="shared" si="29"/>
        <v>0</v>
      </c>
      <c r="AW11" s="15" t="str">
        <f t="shared" si="30"/>
        <v/>
      </c>
      <c r="AX11" s="76" t="b">
        <f t="shared" si="16"/>
        <v>0</v>
      </c>
      <c r="AY11" s="17">
        <f>SUMIFS('Import Record Details'!$O:$O,'Import Record Details'!$A:$A,'Import - recap'!$A11)</f>
        <v>0</v>
      </c>
      <c r="AZ11" s="16" t="b">
        <f>IF((+SUMIFS('Import Record Details'!$O:$O,'Import Record Details'!$A:$A,'Import - recap'!$A11,'Import Record Details'!$F:$F,'Import - recap'!$AZ$3)=0),IF($G11="cloturé",IF(B11="SK",IF($E11=20,IF(AND($J11&gt;12,$J11&lt;=21),($J11-12)*Schedule!$C$14*'Import - recap'!$D11,IF($J11&gt;21,9*Schedule!$C$14*'Import - recap'!$D11)+(IF($J11&gt;21,(($J11-21)*Schedule!$C$15*'Import - recap'!$D11)))),IF(AND($J11&gt;12,$J11&lt;=21),($J11-12)*Schedule!$D$14*'Import - recap'!$D11,IF($J11&gt;21,9*Schedule!$D$14*'Import - recap'!$D11)+(IF($J11&gt;21,(($J11-21)*Schedule!$D$15*'Import - recap'!$D11))))),IF(B11="Company 1",IF($E11=20,IF(AND($J11&gt;12,$J11&lt;=21),($J11-12)*Schedule!$C$16*'Import - recap'!$D11,IF($J11&gt;21,9*Schedule!$C$16*'Import - recap'!$D11)+(IF($J11&gt;21,(($J11-21)*Schedule!$C$17*'Import - recap'!$D11)))),IF(AND($J11&gt;12,$J11&lt;=21),($J11-12)*Schedule!$D$16*'Import - recap'!$D11,IF($J11&gt;21,9*Schedule!$D$16*'Import - recap'!$D11)+(IF($J11&gt;21,(($J11-21)*Schedule!$D$17*'Import - recap'!$D11))))),IF(B11="Company 2",IF($E11=20,IF(AND($J11&gt;12,$J11&lt;=21),($J11-12)*Schedule!$C$18*'Import - recap'!$D11,IF($J11&gt;21,9*Schedule!$C$18*'Import - recap'!$D11)+(IF($J11&gt;21,(($J11-21)*Schedule!$C$19*'Import - recap'!$D11)))),IF(AND($J11&gt;12,$J11&lt;=21),($J11-12)*Schedule!$D$18*'Import - recap'!$D11,IF($J11&gt;21,9*Schedule!$D$18*'Import - recap'!$D11)+(IF($J11&gt;21,(($J11-21)*Schedule!$D$19*'Import - recap'!$D11)))))))),IF($G11="arrivé a l'usine non payé",IF(B11="SK",IF($E11=20,IF(AND($J11&gt;12,$J11&lt;=21),($J11-12)*Schedule!$C$14*'Import - recap'!$D11,IF($J11&gt;21,9*Schedule!$C$14*'Import - recap'!$D11)+(IF($J11&gt;21,(($J11-21)*Schedule!$C$15*'Import - recap'!$D11)))),IF(AND($J11&gt;12,$J11&lt;=21),($J11-12)*Schedule!$D$14*'Import - recap'!$D11,IF($J11&gt;21,9*Schedule!$D$14*'Import - recap'!$D11)+(IF($J11&gt;21,(($J11-21)*Schedule!$D$15*'Import - recap'!$D11))))),IF(B11="Company 1",IF($E11=20,IF(AND($J11&gt;12,$J11&lt;=21),($J11-12)*Schedule!$C$16*'Import - recap'!$D11,IF($J11&gt;21,9*Schedule!$C$16*'Import - recap'!$D11)+(IF($J11&gt;21,(($J11-21)*Schedule!$C$17*'Import - recap'!$D11)))),IF(AND($J11&gt;12,$J11&lt;=21),($J11-12)*Schedule!$D$16*'Import - recap'!$D11,IF($J11&gt;21,9*Schedule!$D$16*'Import - recap'!$D11)+(IF($J11&gt;21,(($J11-21)*Schedule!$D$17*'Import - recap'!$D11))))),IF(B11="Company 2",IF($E11=20,IF(AND($J11&gt;12,$J11&lt;=21),($J11-12)*Schedule!$C$18*'Import - recap'!$D11,IF($J11&gt;21,9*Schedule!$C$18*'Import - recap'!$D11)+(IF($J11&gt;21,(($J11-21)*Schedule!$C$19*'Import - recap'!$D11)))),IF(AND($J11&gt;12,$J11&lt;=21),($J11-12)*Schedule!$D$18*'Import - recap'!$D11,IF($J11&gt;21,9*Schedule!$D$18*'Import - recap'!$D11)+(IF($J11&gt;21,(($J11-21)*Schedule!$D$19*'Import - recap'!$D11)))))))))),SUMIFS('Import Record Details'!$O:$O,'Import Record Details'!$A:$A,'Import - recap'!$A11,'Import Record Details'!$F:$F,'Import - recap'!$AZ$3))</f>
        <v>0</v>
      </c>
      <c r="BA11" s="17" t="str">
        <f t="shared" si="31"/>
        <v/>
      </c>
      <c r="BB11" s="17">
        <f t="shared" si="32"/>
        <v>0</v>
      </c>
      <c r="BC11" s="57" t="e">
        <f t="shared" si="33"/>
        <v>#VALUE!</v>
      </c>
    </row>
    <row r="12" spans="1:55" ht="25.5" customHeight="1" x14ac:dyDescent="0.25">
      <c r="A12" s="3"/>
      <c r="B12" s="3"/>
      <c r="C12" s="3"/>
      <c r="D12" s="3"/>
      <c r="E12" s="3"/>
      <c r="F12" s="40"/>
      <c r="G12" s="52"/>
      <c r="H12" s="20"/>
      <c r="I12" s="20"/>
      <c r="J12" s="31">
        <f t="shared" ca="1" si="24"/>
        <v>45980</v>
      </c>
      <c r="K12" s="31"/>
      <c r="L12" s="19"/>
      <c r="M12" s="10"/>
      <c r="N12" s="11"/>
      <c r="O12" s="20"/>
      <c r="P12" s="12"/>
      <c r="Q12" s="21"/>
      <c r="R12" s="13"/>
      <c r="S12" s="3"/>
      <c r="T12" s="77"/>
      <c r="U12" s="18">
        <f>+SUMIFS('Import Record Details'!$M:$M,'Import Record Details'!$A:$A,'Import - recap'!$A12)</f>
        <v>0</v>
      </c>
      <c r="V12" s="14" t="e">
        <f t="shared" si="25"/>
        <v>#DIV/0!</v>
      </c>
      <c r="W12" s="14"/>
      <c r="X12" s="14" t="str">
        <f t="shared" si="1"/>
        <v/>
      </c>
      <c r="Y12" s="49" t="b">
        <f>IF($G12="Arrived at Port",IF($E12&lt;&gt;"",IF($E12=20,IF($J12&lt;2,0,IF($J12&lt;=7,(($J12-2)*Schedule!$C$3*$D12),5*Schedule!$C$3*$D12))+IF(AND($J12&gt;7,$J12&lt;=15),($J12-7)*Schedule!$C$4*$D12,IF($J12&gt;15,8*Schedule!$C$4*$D12))+(IF($J12&gt;15,(($J12-15)*Schedule!$C$5*'Import - recap'!$D12),0))+IF($J12&lt;=5,(($J12-0)*Schedule!$C$6*'Import - recap'!$D12),5*Schedule!$C$6*'Import - recap'!$D12)+IF(AND($J12&gt;5,$J12&lt;=10),($J12-5)*Schedule!$C$7*'Import - recap'!$D12,IF($J12&gt;10,5*Schedule!$C$7*'Import - recap'!$D12)+IF(AND($J12&gt;10,$J12&lt;=15),($J12-10)*Schedule!$C$8*'Import - recap'!$D12,IF($J12&gt;15,5*Schedule!$C$8*'Import - recap'!$D12)+IF(AND($J12&gt;15,$J12&lt;=45),($J12-15)*Schedule!$C$9*'Import - recap'!$D12,IF($J12&gt;45,30*Schedule!$C$9*'Import - recap'!$D12)+(IF($J12&gt;45,(($J12-45)*Schedule!$C$9*'Import - recap'!$D12))))))+($J12*$D12*Schedule!$C$2),IF($J12&lt;2,0,IF($J12&lt;=7,(($J12-2)*Schedule!$D$3*$D12),5*Schedule!$D$3*$D12))+IF(AND($J12&gt;7,$J12&lt;=15),($J12-7)*Schedule!$D$4*$D12,IF($J12&gt;15,8*Schedule!$D$4*$D12))+(IF($J12&gt;15,(($J12-15)*Schedule!$D$5*'Import - recap'!$D12),0))+IF($J12&lt;=5,(($J12-0)*Schedule!$D$6*'Import - recap'!$D12),5*Schedule!$D$6*'Import - recap'!$D12)+IF(AND($J12&gt;5,$J12&lt;=10),($J12-5)*Schedule!$D$7*'Import - recap'!$D12,IF($J12&gt;10,5*Schedule!$D$7*'Import - recap'!$D12)+IF(AND($J12&gt;10,$J12&lt;=15),($J12-10)*Schedule!$D$8*'Import - recap'!$D12,IF($J12&gt;15,5*Schedule!$D$8*'Import - recap'!$D12)+IF(AND($J12&gt;15,$J12&lt;=45),($J12-15)*Schedule!$D$9*'Import - recap'!$D12,IF($J12&gt;45,30*Schedule!$D$9*'Import - recap'!$D12)+(IF($J12&gt;45,(($J12-45)*Schedule!$D$9*'Import - recap'!$D12))))))+($J12*$D12*Schedule!$D$2)),"erreur"),IF($G12="Paid, Not Yet Arrived at Factory",IF($E12&lt;&gt;"",IF($E12=20,IF($J12&lt;2,0,IF($J12&lt;=7,(($J12-2)*Schedule!$C$3*$D12),5*Schedule!$C$3*$D12))+IF(AND($J12&gt;7,$J12&lt;=15),($J12-7)*Schedule!$C$4*$D12,IF($J12&gt;15,8*Schedule!$C$4*$D12))+(IF($J12&gt;15,(($J12-15)*Schedule!$C$5*'Import - recap'!$D12),0))+IF($J12&lt;=5,(($J12-0)*Schedule!$C$6*'Import - recap'!$D12),5*Schedule!$C$6*'Import - recap'!$D12)+IF(AND($J12&gt;5,$J12&lt;=10),($J12-5)*Schedule!$C$7*'Import - recap'!$D12,IF($J12&gt;10,5*Schedule!$C$7*'Import - recap'!$D12)+IF(AND($J12&gt;10,$J12&lt;=15),($J12-10)*Schedule!$C$8*'Import - recap'!$D12,IF($J12&gt;15,5*Schedule!$C$8*'Import - recap'!$D12)+IF(AND($J12&gt;15,$J12&lt;=45),($J12-15)*Schedule!$C$9*'Import - recap'!$D12,IF($J12&gt;45,30*Schedule!$C$9*'Import - recap'!$D12)+(IF($J12&gt;45,(($J12-45)*Schedule!$C$9*'Import - recap'!$D12))))))+($J12*$D12*Schedule!$C$2),IF($J12&lt;2,0,IF($J12&lt;=7,(($J12-2)*Schedule!$D$3*$D12),5*Schedule!$D$3*$D12))+IF(AND($J12&gt;7,$J12&lt;=15),($J12-7)*Schedule!$D$4*$D12,IF($J12&gt;15,8*Schedule!$D$4*$D12))+(IF($J12&gt;15,(($J12-15)*Schedule!$D$5*'Import - recap'!$D12),0))+IF($J12&lt;=5,(($J12-0)*Schedule!$D$6*'Import - recap'!$D12),5*Schedule!$D$6*'Import - recap'!$D12)+IF(AND($J12&gt;5,$J12&lt;=10),($J12-5)*Schedule!$D$7*'Import - recap'!$D12,IF($J12&gt;10,5*Schedule!$D$7*'Import - recap'!$D12)+IF(AND($J12&gt;10,$J12&lt;=15),($J12-10)*Schedule!$D$8*'Import - recap'!$D12,IF($J12&gt;15,5*Schedule!$D$8*'Import - recap'!$D12)+IF(AND($J12&gt;15,$J12&lt;=45),($J12-15)*Schedule!$D$9*'Import - recap'!$D12,IF($J12&gt;45,30*Schedule!$D$9*'Import - recap'!$D12)+(IF($J12&gt;45,(($J12-45)*Schedule!$D$9*'Import - recap'!$D12))))))+($J12*$D12*Schedule!$D$2)),"erreur")))</f>
        <v>0</v>
      </c>
      <c r="Z12" s="41" t="b">
        <f>IF($G12="Arrived at Port",IF(B12="SK",IF($E12=20,IF(AND($J12&gt;12,$J12&lt;=21),($J12-12)*Schedule!$C$14*'Import - recap'!$D12,IF($J12&gt;21,9*Schedule!$C$14*'Import - recap'!$D12)+(IF($J12&gt;21,(($J12-21)*Schedule!$C$15*'Import - recap'!$D12)))),IF(AND($J12&gt;12,$J12&lt;=21),($J12-12)*Schedule!$D$14*'Import - recap'!$D12,IF($J12&gt;21,9*Schedule!$D$14*'Import - recap'!$D12)+(IF($J12&gt;21,(($J12-21)*Schedule!$D$15*'Import - recap'!$D12))))),IF(B12="Company 1",IF($E12=20,IF(AND($J12&gt;12,$J12&lt;=21),($J12-12)*Schedule!$C$16*'Import - recap'!$D12,IF($J12&gt;21,9*Schedule!$C$16*'Import - recap'!$D12)+(IF($J12&gt;21,(($J12-21)*Schedule!$C$17*'Import - recap'!$D12)))),IF(AND($J12&gt;12,$J12&lt;=21),($J12-12)*Schedule!$D$16*'Import - recap'!$D12,IF($J12&gt;21,9*Schedule!$D$16*'Import - recap'!$D12)+(IF($J12&gt;21,(($J12-21)*Schedule!$D$17*'Import - recap'!$D12))))),IF(B12="Company 2",IF($E12=20,IF(AND($J12&gt;12,$J12&lt;=21),($J12-12)*Schedule!$C$18*'Import - recap'!$D12,IF($J12&gt;21,9*Schedule!$C$18*'Import - recap'!$D12)+(IF($J12&gt;21,(($J12-21)*Schedule!$C$19*'Import - recap'!$D12)))),IF(AND($J12&gt;12,$J12&lt;=21),($J12-12)*Schedule!$D$18*'Import - recap'!$D12,IF($J12&gt;21,9*Schedule!$D$18*'Import - recap'!$D12)+(IF($J12&gt;21,(($J12-21)*Schedule!$D$19*'Import - recap'!$D12)))))))),IF($G12="Paid, Not Yet Arrived at Factory",IF(B12="SK",IF($E12=20,IF(AND($J12&gt;12,$J12&lt;=21),($J12-12)*Schedule!$C$14*'Import - recap'!$D12,IF($J12&gt;21,9*Schedule!$C$14*'Import - recap'!$D12)+(IF($J12&gt;21,(($J12-21)*Schedule!$C$15*'Import - recap'!$D12)))),IF(AND($J12&gt;12,$J12&lt;=21),($J12-12)*Schedule!$D$14*'Import - recap'!$D12,IF($J12&gt;21,9*Schedule!$D$14*'Import - recap'!$D12)+(IF($J12&gt;21,(($J12-21)*Schedule!$D$15*'Import - recap'!$D12))))),IF(B12="Company 1",IF($E12=20,IF(AND($J12&gt;12,$J12&lt;=21),($J12-12)*Schedule!$C$16*'Import - recap'!$D12,IF($J12&gt;21,9*Schedule!$C$16*'Import - recap'!$D12)+(IF($J12&gt;21,(($J12-21)*Schedule!$C$17*'Import - recap'!$D12)))),IF(AND($J12&gt;12,$J12&lt;=21),($J12-12)*Schedule!$D$16*'Import - recap'!$D12,IF($J12&gt;21,9*Schedule!$D$16*'Import - recap'!$D12)+(IF($J12&gt;21,(($J12-21)*Schedule!$D$17*'Import - recap'!$D12))))),IF(B12="Company 2",IF($E12=20,IF(AND($J12&gt;12,$J12&lt;=21),($J12-12)*Schedule!$C$18*'Import - recap'!$D12,IF($J12&gt;21,9*Schedule!$C$18*'Import - recap'!$D12)+(IF($J12&gt;21,(($J12-21)*Schedule!$C$19*'Import - recap'!$D12)))),IF(AND($J12&gt;12,$J12&lt;=21),($J12-12)*Schedule!$D$18*'Import - recap'!$D12,IF($J12&gt;21,9*Schedule!$D$18*'Import - recap'!$D12)+(IF($J12&gt;21,(($J12-21)*Schedule!$D$19*'Import - recap'!$D12))))))))))</f>
        <v>0</v>
      </c>
      <c r="AA12" s="14" t="str">
        <f t="shared" si="2"/>
        <v>0</v>
      </c>
      <c r="AB12" s="14" t="str">
        <f t="shared" si="22"/>
        <v/>
      </c>
      <c r="AC12" s="14" t="str">
        <f t="shared" si="3"/>
        <v/>
      </c>
      <c r="AD12" s="14" t="str">
        <f t="shared" si="4"/>
        <v/>
      </c>
      <c r="AE12" s="14" t="str">
        <f t="shared" si="5"/>
        <v/>
      </c>
      <c r="AF12" s="14" t="str">
        <f t="shared" si="6"/>
        <v/>
      </c>
      <c r="AG12" s="70" t="str">
        <f t="shared" si="26"/>
        <v/>
      </c>
      <c r="AH12" s="70" t="str">
        <f t="shared" si="27"/>
        <v/>
      </c>
      <c r="AI12" s="72" t="str">
        <f t="shared" si="9"/>
        <v/>
      </c>
      <c r="AJ12" s="34" t="str">
        <f t="shared" si="10"/>
        <v/>
      </c>
      <c r="AK12" s="34" t="str">
        <f t="shared" si="11"/>
        <v/>
      </c>
      <c r="AL12" s="54" t="str">
        <f t="shared" si="28"/>
        <v/>
      </c>
      <c r="AM12" s="49" t="b">
        <f>IF($G12="Arrived at Port",IF($E12&lt;&gt;"",IF($E12=20,IF($J12&lt;2,0,IF($J12&lt;=7,(($J12-2)*Schedule!$C$3*$D12),5*Schedule!$C$3*$D12))+IF(AND($J12&gt;7,$J12&lt;=15),($J12-7)*Schedule!$C$4*$D12,IF($J12&gt;15,8*Schedule!$C$4*$D12))+(IF($J12&gt;15,(($J12-15)*Schedule!$C$5*'Import - recap'!$D12),0))+IF($J12&lt;=5,(($J12-0)*Schedule!$C$6*'Import - recap'!$D12),5*Schedule!$C$6*'Import - recap'!$D12)+IF(AND($J12&gt;5,$J12&lt;=10),($J12-5)*Schedule!$C$7*'Import - recap'!$D12,IF($J12&gt;10,5*Schedule!$C$7*'Import - recap'!$D12)+IF(AND($J12&gt;10,$J12&lt;=15),($J12-10)*Schedule!$C$8*'Import - recap'!$D12,IF($J12&gt;15,5*Schedule!$C$8*'Import - recap'!$D12)+IF(AND($J12&gt;15,$J12&lt;=45),($J12-15)*Schedule!$C$9*'Import - recap'!$D12,IF($J12&gt;45,30*Schedule!$C$9*'Import - recap'!$D12)+(IF($J12&gt;45,(($J12-45)*Schedule!$C$9*'Import - recap'!$D12))))))+($J12*$D12*Schedule!$C$2),IF($J12&lt;2,0,IF($J12&lt;=7,(($J12-2)*Schedule!$D$3*$D12),5*Schedule!$D$3*$D12))+IF(AND($J12&gt;7,$J12&lt;=15),($J12-7)*Schedule!$D$4*$D12,IF($J12&gt;15,8*Schedule!$D$4*$D12))+(IF($J12&gt;15,(($J12-15)*Schedule!$D$5*'Import - recap'!$D12),0))+IF($J12&lt;=5,(($J12-0)*Schedule!$D$6*'Import - recap'!$D12),5*Schedule!$D$6*'Import - recap'!$D12)+IF(AND($J12&gt;5,$J12&lt;=10),($J12-5)*Schedule!$D$7*'Import - recap'!$D12,IF($J12&gt;10,5*Schedule!$D$7*'Import - recap'!$D12)+IF(AND($J12&gt;10,$J12&lt;=15),($J12-10)*Schedule!$D$8*'Import - recap'!$D12,IF($J12&gt;15,5*Schedule!$D$8*'Import - recap'!$D12)+IF(AND($J12&gt;15,$J12&lt;=45),($J12-15)*Schedule!$D$9*'Import - recap'!$D12,IF($J12&gt;45,30*Schedule!$D$9*'Import - recap'!$D12)+(IF($J12&gt;45,(($J12-45)*Schedule!$D$9*'Import - recap'!$D12))))))+($J12*$D12*Schedule!$D$2)),"erreur"),IF($G12="Paid, Not Yet Arrived at Factory",IF($E12&lt;&gt;"",IF($E12=20,IF($J12&lt;2,0,IF($J12&lt;=7,(($J12-2)*Schedule!$C$3*$D12),5*Schedule!$C$3*$D12))+IF(AND($J12&gt;7,$J12&lt;=15),($J12-7)*Schedule!$C$4*$D12,IF($J12&gt;15,8*Schedule!$C$4*$D12))+(IF($J12&gt;15,(($J12-15)*Schedule!$C$5*'Import - recap'!$D12),0))+IF($J12&lt;=5,(($J12-0)*Schedule!$C$6*'Import - recap'!$D12),5*Schedule!$C$6*'Import - recap'!$D12)+IF(AND($J12&gt;5,$J12&lt;=10),($J12-5)*Schedule!$C$7*'Import - recap'!$D12,IF($J12&gt;10,5*Schedule!$C$7*'Import - recap'!$D12)+IF(AND($J12&gt;10,$J12&lt;=15),($J12-10)*Schedule!$C$8*'Import - recap'!$D12,IF($J12&gt;15,5*Schedule!$C$8*'Import - recap'!$D12)+IF(AND($J12&gt;15,$J12&lt;=45),($J12-15)*Schedule!$C$9*'Import - recap'!$D12,IF($J12&gt;45,30*Schedule!$C$9*'Import - recap'!$D12)+(IF($J12&gt;45,(($J12-45)*Schedule!$C$9*'Import - recap'!$D12))))))+($J12*$D12*Schedule!$C$2),IF($J12&lt;2,0,IF($J12&lt;=7,(($J12-2)*Schedule!$D$3*$D12),5*Schedule!$D$3*$D12))+IF(AND($J12&gt;7,$J12&lt;=15),($J12-7)*Schedule!$D$4*$D12,IF($J12&gt;15,8*Schedule!$D$4*$D12))+(IF($J12&gt;15,(($J12-15)*Schedule!$D$5*'Import - recap'!$D12),0))+IF($J12&lt;=5,(($J12-0)*Schedule!$D$6*'Import - recap'!$D12),5*Schedule!$D$6*'Import - recap'!$D12)+IF(AND($J12&gt;5,$J12&lt;=10),($J12-5)*Schedule!$D$7*'Import - recap'!$D12,IF($J12&gt;10,5*Schedule!$D$7*'Import - recap'!$D12)+IF(AND($J12&gt;10,$J12&lt;=15),($J12-10)*Schedule!$D$8*'Import - recap'!$D12,IF($J12&gt;15,5*Schedule!$D$8*'Import - recap'!$D12)+IF(AND($J12&gt;15,$J12&lt;=45),($J12-15)*Schedule!$D$9*'Import - recap'!$D12,IF($J12&gt;45,30*Schedule!$D$9*'Import - recap'!$D12)+(IF($J12&gt;45,(($J12-45)*Schedule!$D$9*'Import - recap'!$D12))))))+($J12*$D12*Schedule!$D$2)),"erreur")))</f>
        <v>0</v>
      </c>
      <c r="AN12" s="14" t="str">
        <f t="shared" si="13"/>
        <v>0</v>
      </c>
      <c r="AO12" s="14"/>
      <c r="AP12" s="14" t="str">
        <f>IF(SUMIFS('Import Record Details'!$O:$O,'Import Record Details'!$F:$F,'Import - recap'!$AP$3,'Import Record Details'!$A:$A,'Import - recap'!$A12)=0,IF($G12="Arrived at Port",$X12*0.04%,IF($G12="arrivé a l'usine non payé",$X12*0.04%,IF($G12="Paid, Not Yet Arrived at Factory",$X12*0.04%,""))),SUMIFS('Import Record Details'!$O:$O,'Import Record Details'!$F:$F,'Import - recap'!$AP$3,'Import Record Details'!$A:$A,'Import - recap'!$A12))</f>
        <v/>
      </c>
      <c r="AQ12" s="14" t="str">
        <f>IF(SUMIFS('Import Record Details'!$O:$O,'Import Record Details'!$F:$F,'Import - recap'!$AQ$3,'Import Record Details'!$A:$A,'Import - recap'!$A12)=0,IF($G12="Arrived at Port",$D12*650,IF($G12="arrivé a l'usine non payé",$D12*650,IF($G12="Paid, Not Yet Arrived at Factory",$D12*650,""))),SUMIFS('Import Record Details'!$O:$O,'Import Record Details'!$F:$F,'Import - recap'!$AQ$3,'Import Record Details'!$A:$A,'Import - recap'!$A12))</f>
        <v/>
      </c>
      <c r="AR12" s="14" t="str">
        <f>IF(SUMIFS('Import Record Details'!$O:$O,'Import Record Details'!$F:$F,'Import - recap'!$AR$3,'Import Record Details'!$A:$A,'Import - recap'!$A12)=0,IF($G12="Arrived at Port",$X12*0.2%,IF($G12="arrivé a l'usine non payé",$X12*0.2%,IF($G12="Paid, Not Yet Arrived at Factory",$X12*0.2%,""))),SUMIFS('Import Record Details'!$O:$O,'Import Record Details'!$F:$F,'Import - recap'!$AR$3,'Import Record Details'!$A:$A,'Import - recap'!$A12))</f>
        <v/>
      </c>
      <c r="AS12" s="14" t="str">
        <f>IF(SUMIFS('Import Record Details'!$O:$O,'Import Record Details'!$F:$F,'Import - recap'!$AS$3,'Import Record Details'!$A:$A,'Import - recap'!$A12)=0,IF($G12="Arrived at Port",$X12*0.06%,IF($G12="arrivé a l'usine non payé",$X12*0.06%,IF($G12="Paid, Not Yet Arrived at Factory",$X12*0.06%,""))),SUMIFS('Import Record Details'!$O:$O,'Import Record Details'!$F:$F,'Import - recap'!$AS$3,'Import Record Details'!$A:$A,'Import - recap'!$A12))</f>
        <v/>
      </c>
      <c r="AT12" s="54"/>
      <c r="AU12" s="72" t="str">
        <f t="shared" si="14"/>
        <v/>
      </c>
      <c r="AV12" s="15">
        <f t="shared" si="29"/>
        <v>0</v>
      </c>
      <c r="AW12" s="15" t="str">
        <f t="shared" si="30"/>
        <v/>
      </c>
      <c r="AX12" s="76" t="b">
        <f t="shared" si="16"/>
        <v>0</v>
      </c>
      <c r="AY12" s="17">
        <f>SUMIFS('Import Record Details'!$O:$O,'Import Record Details'!$A:$A,'Import - recap'!$A12)</f>
        <v>0</v>
      </c>
      <c r="AZ12" s="16" t="b">
        <f>IF((+SUMIFS('Import Record Details'!$O:$O,'Import Record Details'!$A:$A,'Import - recap'!$A12,'Import Record Details'!$F:$F,'Import - recap'!$AZ$3)=0),IF($G12="cloturé",IF(B12="SK",IF($E12=20,IF(AND($J12&gt;12,$J12&lt;=21),($J12-12)*Schedule!$C$14*'Import - recap'!$D12,IF($J12&gt;21,9*Schedule!$C$14*'Import - recap'!$D12)+(IF($J12&gt;21,(($J12-21)*Schedule!$C$15*'Import - recap'!$D12)))),IF(AND($J12&gt;12,$J12&lt;=21),($J12-12)*Schedule!$D$14*'Import - recap'!$D12,IF($J12&gt;21,9*Schedule!$D$14*'Import - recap'!$D12)+(IF($J12&gt;21,(($J12-21)*Schedule!$D$15*'Import - recap'!$D12))))),IF(B12="Company 1",IF($E12=20,IF(AND($J12&gt;12,$J12&lt;=21),($J12-12)*Schedule!$C$16*'Import - recap'!$D12,IF($J12&gt;21,9*Schedule!$C$16*'Import - recap'!$D12)+(IF($J12&gt;21,(($J12-21)*Schedule!$C$17*'Import - recap'!$D12)))),IF(AND($J12&gt;12,$J12&lt;=21),($J12-12)*Schedule!$D$16*'Import - recap'!$D12,IF($J12&gt;21,9*Schedule!$D$16*'Import - recap'!$D12)+(IF($J12&gt;21,(($J12-21)*Schedule!$D$17*'Import - recap'!$D12))))),IF(B12="Company 2",IF($E12=20,IF(AND($J12&gt;12,$J12&lt;=21),($J12-12)*Schedule!$C$18*'Import - recap'!$D12,IF($J12&gt;21,9*Schedule!$C$18*'Import - recap'!$D12)+(IF($J12&gt;21,(($J12-21)*Schedule!$C$19*'Import - recap'!$D12)))),IF(AND($J12&gt;12,$J12&lt;=21),($J12-12)*Schedule!$D$18*'Import - recap'!$D12,IF($J12&gt;21,9*Schedule!$D$18*'Import - recap'!$D12)+(IF($J12&gt;21,(($J12-21)*Schedule!$D$19*'Import - recap'!$D12)))))))),IF($G12="arrivé a l'usine non payé",IF(B12="SK",IF($E12=20,IF(AND($J12&gt;12,$J12&lt;=21),($J12-12)*Schedule!$C$14*'Import - recap'!$D12,IF($J12&gt;21,9*Schedule!$C$14*'Import - recap'!$D12)+(IF($J12&gt;21,(($J12-21)*Schedule!$C$15*'Import - recap'!$D12)))),IF(AND($J12&gt;12,$J12&lt;=21),($J12-12)*Schedule!$D$14*'Import - recap'!$D12,IF($J12&gt;21,9*Schedule!$D$14*'Import - recap'!$D12)+(IF($J12&gt;21,(($J12-21)*Schedule!$D$15*'Import - recap'!$D12))))),IF(B12="Company 1",IF($E12=20,IF(AND($J12&gt;12,$J12&lt;=21),($J12-12)*Schedule!$C$16*'Import - recap'!$D12,IF($J12&gt;21,9*Schedule!$C$16*'Import - recap'!$D12)+(IF($J12&gt;21,(($J12-21)*Schedule!$C$17*'Import - recap'!$D12)))),IF(AND($J12&gt;12,$J12&lt;=21),($J12-12)*Schedule!$D$16*'Import - recap'!$D12,IF($J12&gt;21,9*Schedule!$D$16*'Import - recap'!$D12)+(IF($J12&gt;21,(($J12-21)*Schedule!$D$17*'Import - recap'!$D12))))),IF(B12="Company 2",IF($E12=20,IF(AND($J12&gt;12,$J12&lt;=21),($J12-12)*Schedule!$C$18*'Import - recap'!$D12,IF($J12&gt;21,9*Schedule!$C$18*'Import - recap'!$D12)+(IF($J12&gt;21,(($J12-21)*Schedule!$C$19*'Import - recap'!$D12)))),IF(AND($J12&gt;12,$J12&lt;=21),($J12-12)*Schedule!$D$18*'Import - recap'!$D12,IF($J12&gt;21,9*Schedule!$D$18*'Import - recap'!$D12)+(IF($J12&gt;21,(($J12-21)*Schedule!$D$19*'Import - recap'!$D12)))))))))),SUMIFS('Import Record Details'!$O:$O,'Import Record Details'!$A:$A,'Import - recap'!$A12,'Import Record Details'!$F:$F,'Import - recap'!$AZ$3))</f>
        <v>0</v>
      </c>
      <c r="BA12" s="17" t="str">
        <f t="shared" si="31"/>
        <v/>
      </c>
      <c r="BB12" s="17">
        <f t="shared" si="32"/>
        <v>0</v>
      </c>
      <c r="BC12" s="57" t="e">
        <f t="shared" si="33"/>
        <v>#VALUE!</v>
      </c>
    </row>
    <row r="13" spans="1:55" ht="25.5" customHeight="1" x14ac:dyDescent="0.25">
      <c r="A13" s="3"/>
      <c r="B13" s="3"/>
      <c r="C13" s="3"/>
      <c r="D13" s="3"/>
      <c r="E13" s="3"/>
      <c r="F13" s="40"/>
      <c r="G13" s="52"/>
      <c r="H13" s="20"/>
      <c r="I13" s="20"/>
      <c r="J13" s="31">
        <f t="shared" ca="1" si="24"/>
        <v>45980</v>
      </c>
      <c r="K13" s="31"/>
      <c r="L13" s="19"/>
      <c r="M13" s="10"/>
      <c r="N13" s="11"/>
      <c r="O13" s="20"/>
      <c r="P13" s="12"/>
      <c r="Q13" s="21"/>
      <c r="R13" s="13"/>
      <c r="S13" s="3"/>
      <c r="T13" s="77"/>
      <c r="U13" s="18">
        <f>+SUMIFS('Import Record Details'!$M:$M,'Import Record Details'!$A:$A,'Import - recap'!$A13)</f>
        <v>0</v>
      </c>
      <c r="V13" s="14" t="e">
        <f t="shared" si="25"/>
        <v>#DIV/0!</v>
      </c>
      <c r="W13" s="14"/>
      <c r="X13" s="14" t="str">
        <f t="shared" si="1"/>
        <v/>
      </c>
      <c r="Y13" s="49" t="b">
        <f>IF($G13="Arrived at Port",IF($E13&lt;&gt;"",IF($E13=20,IF($J13&lt;2,0,IF($J13&lt;=7,(($J13-2)*Schedule!$C$3*$D13),5*Schedule!$C$3*$D13))+IF(AND($J13&gt;7,$J13&lt;=15),($J13-7)*Schedule!$C$4*$D13,IF($J13&gt;15,8*Schedule!$C$4*$D13))+(IF($J13&gt;15,(($J13-15)*Schedule!$C$5*'Import - recap'!$D13),0))+IF($J13&lt;=5,(($J13-0)*Schedule!$C$6*'Import - recap'!$D13),5*Schedule!$C$6*'Import - recap'!$D13)+IF(AND($J13&gt;5,$J13&lt;=10),($J13-5)*Schedule!$C$7*'Import - recap'!$D13,IF($J13&gt;10,5*Schedule!$C$7*'Import - recap'!$D13)+IF(AND($J13&gt;10,$J13&lt;=15),($J13-10)*Schedule!$C$8*'Import - recap'!$D13,IF($J13&gt;15,5*Schedule!$C$8*'Import - recap'!$D13)+IF(AND($J13&gt;15,$J13&lt;=45),($J13-15)*Schedule!$C$9*'Import - recap'!$D13,IF($J13&gt;45,30*Schedule!$C$9*'Import - recap'!$D13)+(IF($J13&gt;45,(($J13-45)*Schedule!$C$9*'Import - recap'!$D13))))))+($J13*$D13*Schedule!$C$2),IF($J13&lt;2,0,IF($J13&lt;=7,(($J13-2)*Schedule!$D$3*$D13),5*Schedule!$D$3*$D13))+IF(AND($J13&gt;7,$J13&lt;=15),($J13-7)*Schedule!$D$4*$D13,IF($J13&gt;15,8*Schedule!$D$4*$D13))+(IF($J13&gt;15,(($J13-15)*Schedule!$D$5*'Import - recap'!$D13),0))+IF($J13&lt;=5,(($J13-0)*Schedule!$D$6*'Import - recap'!$D13),5*Schedule!$D$6*'Import - recap'!$D13)+IF(AND($J13&gt;5,$J13&lt;=10),($J13-5)*Schedule!$D$7*'Import - recap'!$D13,IF($J13&gt;10,5*Schedule!$D$7*'Import - recap'!$D13)+IF(AND($J13&gt;10,$J13&lt;=15),($J13-10)*Schedule!$D$8*'Import - recap'!$D13,IF($J13&gt;15,5*Schedule!$D$8*'Import - recap'!$D13)+IF(AND($J13&gt;15,$J13&lt;=45),($J13-15)*Schedule!$D$9*'Import - recap'!$D13,IF($J13&gt;45,30*Schedule!$D$9*'Import - recap'!$D13)+(IF($J13&gt;45,(($J13-45)*Schedule!$D$9*'Import - recap'!$D13))))))+($J13*$D13*Schedule!$D$2)),"erreur"),IF($G13="Paid, Not Yet Arrived at Factory",IF($E13&lt;&gt;"",IF($E13=20,IF($J13&lt;2,0,IF($J13&lt;=7,(($J13-2)*Schedule!$C$3*$D13),5*Schedule!$C$3*$D13))+IF(AND($J13&gt;7,$J13&lt;=15),($J13-7)*Schedule!$C$4*$D13,IF($J13&gt;15,8*Schedule!$C$4*$D13))+(IF($J13&gt;15,(($J13-15)*Schedule!$C$5*'Import - recap'!$D13),0))+IF($J13&lt;=5,(($J13-0)*Schedule!$C$6*'Import - recap'!$D13),5*Schedule!$C$6*'Import - recap'!$D13)+IF(AND($J13&gt;5,$J13&lt;=10),($J13-5)*Schedule!$C$7*'Import - recap'!$D13,IF($J13&gt;10,5*Schedule!$C$7*'Import - recap'!$D13)+IF(AND($J13&gt;10,$J13&lt;=15),($J13-10)*Schedule!$C$8*'Import - recap'!$D13,IF($J13&gt;15,5*Schedule!$C$8*'Import - recap'!$D13)+IF(AND($J13&gt;15,$J13&lt;=45),($J13-15)*Schedule!$C$9*'Import - recap'!$D13,IF($J13&gt;45,30*Schedule!$C$9*'Import - recap'!$D13)+(IF($J13&gt;45,(($J13-45)*Schedule!$C$9*'Import - recap'!$D13))))))+($J13*$D13*Schedule!$C$2),IF($J13&lt;2,0,IF($J13&lt;=7,(($J13-2)*Schedule!$D$3*$D13),5*Schedule!$D$3*$D13))+IF(AND($J13&gt;7,$J13&lt;=15),($J13-7)*Schedule!$D$4*$D13,IF($J13&gt;15,8*Schedule!$D$4*$D13))+(IF($J13&gt;15,(($J13-15)*Schedule!$D$5*'Import - recap'!$D13),0))+IF($J13&lt;=5,(($J13-0)*Schedule!$D$6*'Import - recap'!$D13),5*Schedule!$D$6*'Import - recap'!$D13)+IF(AND($J13&gt;5,$J13&lt;=10),($J13-5)*Schedule!$D$7*'Import - recap'!$D13,IF($J13&gt;10,5*Schedule!$D$7*'Import - recap'!$D13)+IF(AND($J13&gt;10,$J13&lt;=15),($J13-10)*Schedule!$D$8*'Import - recap'!$D13,IF($J13&gt;15,5*Schedule!$D$8*'Import - recap'!$D13)+IF(AND($J13&gt;15,$J13&lt;=45),($J13-15)*Schedule!$D$9*'Import - recap'!$D13,IF($J13&gt;45,30*Schedule!$D$9*'Import - recap'!$D13)+(IF($J13&gt;45,(($J13-45)*Schedule!$D$9*'Import - recap'!$D13))))))+($J13*$D13*Schedule!$D$2)),"erreur")))</f>
        <v>0</v>
      </c>
      <c r="Z13" s="41" t="b">
        <f>IF($G13="Arrived at Port",IF(B13="SK",IF($E13=20,IF(AND($J13&gt;12,$J13&lt;=21),($J13-12)*Schedule!$C$14*'Import - recap'!$D13,IF($J13&gt;21,9*Schedule!$C$14*'Import - recap'!$D13)+(IF($J13&gt;21,(($J13-21)*Schedule!$C$15*'Import - recap'!$D13)))),IF(AND($J13&gt;12,$J13&lt;=21),($J13-12)*Schedule!$D$14*'Import - recap'!$D13,IF($J13&gt;21,9*Schedule!$D$14*'Import - recap'!$D13)+(IF($J13&gt;21,(($J13-21)*Schedule!$D$15*'Import - recap'!$D13))))),IF(B13="Company 1",IF($E13=20,IF(AND($J13&gt;12,$J13&lt;=21),($J13-12)*Schedule!$C$16*'Import - recap'!$D13,IF($J13&gt;21,9*Schedule!$C$16*'Import - recap'!$D13)+(IF($J13&gt;21,(($J13-21)*Schedule!$C$17*'Import - recap'!$D13)))),IF(AND($J13&gt;12,$J13&lt;=21),($J13-12)*Schedule!$D$16*'Import - recap'!$D13,IF($J13&gt;21,9*Schedule!$D$16*'Import - recap'!$D13)+(IF($J13&gt;21,(($J13-21)*Schedule!$D$17*'Import - recap'!$D13))))),IF(B13="Company 2",IF($E13=20,IF(AND($J13&gt;12,$J13&lt;=21),($J13-12)*Schedule!$C$18*'Import - recap'!$D13,IF($J13&gt;21,9*Schedule!$C$18*'Import - recap'!$D13)+(IF($J13&gt;21,(($J13-21)*Schedule!$C$19*'Import - recap'!$D13)))),IF(AND($J13&gt;12,$J13&lt;=21),($J13-12)*Schedule!$D$18*'Import - recap'!$D13,IF($J13&gt;21,9*Schedule!$D$18*'Import - recap'!$D13)+(IF($J13&gt;21,(($J13-21)*Schedule!$D$19*'Import - recap'!$D13)))))))),IF($G13="Paid, Not Yet Arrived at Factory",IF(B13="SK",IF($E13=20,IF(AND($J13&gt;12,$J13&lt;=21),($J13-12)*Schedule!$C$14*'Import - recap'!$D13,IF($J13&gt;21,9*Schedule!$C$14*'Import - recap'!$D13)+(IF($J13&gt;21,(($J13-21)*Schedule!$C$15*'Import - recap'!$D13)))),IF(AND($J13&gt;12,$J13&lt;=21),($J13-12)*Schedule!$D$14*'Import - recap'!$D13,IF($J13&gt;21,9*Schedule!$D$14*'Import - recap'!$D13)+(IF($J13&gt;21,(($J13-21)*Schedule!$D$15*'Import - recap'!$D13))))),IF(B13="Company 1",IF($E13=20,IF(AND($J13&gt;12,$J13&lt;=21),($J13-12)*Schedule!$C$16*'Import - recap'!$D13,IF($J13&gt;21,9*Schedule!$C$16*'Import - recap'!$D13)+(IF($J13&gt;21,(($J13-21)*Schedule!$C$17*'Import - recap'!$D13)))),IF(AND($J13&gt;12,$J13&lt;=21),($J13-12)*Schedule!$D$16*'Import - recap'!$D13,IF($J13&gt;21,9*Schedule!$D$16*'Import - recap'!$D13)+(IF($J13&gt;21,(($J13-21)*Schedule!$D$17*'Import - recap'!$D13))))),IF(B13="Company 2",IF($E13=20,IF(AND($J13&gt;12,$J13&lt;=21),($J13-12)*Schedule!$C$18*'Import - recap'!$D13,IF($J13&gt;21,9*Schedule!$C$18*'Import - recap'!$D13)+(IF($J13&gt;21,(($J13-21)*Schedule!$C$19*'Import - recap'!$D13)))),IF(AND($J13&gt;12,$J13&lt;=21),($J13-12)*Schedule!$D$18*'Import - recap'!$D13,IF($J13&gt;21,9*Schedule!$D$18*'Import - recap'!$D13)+(IF($J13&gt;21,(($J13-21)*Schedule!$D$19*'Import - recap'!$D13))))))))))</f>
        <v>0</v>
      </c>
      <c r="AA13" s="14" t="str">
        <f t="shared" si="2"/>
        <v>0</v>
      </c>
      <c r="AB13" s="14" t="str">
        <f t="shared" si="22"/>
        <v/>
      </c>
      <c r="AC13" s="14" t="str">
        <f t="shared" si="3"/>
        <v/>
      </c>
      <c r="AD13" s="14" t="str">
        <f t="shared" si="4"/>
        <v/>
      </c>
      <c r="AE13" s="14" t="str">
        <f t="shared" si="5"/>
        <v/>
      </c>
      <c r="AF13" s="14" t="str">
        <f t="shared" si="6"/>
        <v/>
      </c>
      <c r="AG13" s="70" t="str">
        <f t="shared" si="26"/>
        <v/>
      </c>
      <c r="AH13" s="70" t="str">
        <f t="shared" si="27"/>
        <v/>
      </c>
      <c r="AI13" s="72" t="str">
        <f t="shared" si="9"/>
        <v/>
      </c>
      <c r="AJ13" s="34" t="str">
        <f t="shared" si="10"/>
        <v/>
      </c>
      <c r="AK13" s="34" t="str">
        <f t="shared" si="11"/>
        <v/>
      </c>
      <c r="AL13" s="54" t="str">
        <f t="shared" si="28"/>
        <v/>
      </c>
      <c r="AM13" s="49" t="b">
        <f>IF($G13="Arrived at Port",IF($E13&lt;&gt;"",IF($E13=20,IF($J13&lt;2,0,IF($J13&lt;=7,(($J13-2)*Schedule!$C$3*$D13),5*Schedule!$C$3*$D13))+IF(AND($J13&gt;7,$J13&lt;=15),($J13-7)*Schedule!$C$4*$D13,IF($J13&gt;15,8*Schedule!$C$4*$D13))+(IF($J13&gt;15,(($J13-15)*Schedule!$C$5*'Import - recap'!$D13),0))+IF($J13&lt;=5,(($J13-0)*Schedule!$C$6*'Import - recap'!$D13),5*Schedule!$C$6*'Import - recap'!$D13)+IF(AND($J13&gt;5,$J13&lt;=10),($J13-5)*Schedule!$C$7*'Import - recap'!$D13,IF($J13&gt;10,5*Schedule!$C$7*'Import - recap'!$D13)+IF(AND($J13&gt;10,$J13&lt;=15),($J13-10)*Schedule!$C$8*'Import - recap'!$D13,IF($J13&gt;15,5*Schedule!$C$8*'Import - recap'!$D13)+IF(AND($J13&gt;15,$J13&lt;=45),($J13-15)*Schedule!$C$9*'Import - recap'!$D13,IF($J13&gt;45,30*Schedule!$C$9*'Import - recap'!$D13)+(IF($J13&gt;45,(($J13-45)*Schedule!$C$9*'Import - recap'!$D13))))))+($J13*$D13*Schedule!$C$2),IF($J13&lt;2,0,IF($J13&lt;=7,(($J13-2)*Schedule!$D$3*$D13),5*Schedule!$D$3*$D13))+IF(AND($J13&gt;7,$J13&lt;=15),($J13-7)*Schedule!$D$4*$D13,IF($J13&gt;15,8*Schedule!$D$4*$D13))+(IF($J13&gt;15,(($J13-15)*Schedule!$D$5*'Import - recap'!$D13),0))+IF($J13&lt;=5,(($J13-0)*Schedule!$D$6*'Import - recap'!$D13),5*Schedule!$D$6*'Import - recap'!$D13)+IF(AND($J13&gt;5,$J13&lt;=10),($J13-5)*Schedule!$D$7*'Import - recap'!$D13,IF($J13&gt;10,5*Schedule!$D$7*'Import - recap'!$D13)+IF(AND($J13&gt;10,$J13&lt;=15),($J13-10)*Schedule!$D$8*'Import - recap'!$D13,IF($J13&gt;15,5*Schedule!$D$8*'Import - recap'!$D13)+IF(AND($J13&gt;15,$J13&lt;=45),($J13-15)*Schedule!$D$9*'Import - recap'!$D13,IF($J13&gt;45,30*Schedule!$D$9*'Import - recap'!$D13)+(IF($J13&gt;45,(($J13-45)*Schedule!$D$9*'Import - recap'!$D13))))))+($J13*$D13*Schedule!$D$2)),"erreur"),IF($G13="Paid, Not Yet Arrived at Factory",IF($E13&lt;&gt;"",IF($E13=20,IF($J13&lt;2,0,IF($J13&lt;=7,(($J13-2)*Schedule!$C$3*$D13),5*Schedule!$C$3*$D13))+IF(AND($J13&gt;7,$J13&lt;=15),($J13-7)*Schedule!$C$4*$D13,IF($J13&gt;15,8*Schedule!$C$4*$D13))+(IF($J13&gt;15,(($J13-15)*Schedule!$C$5*'Import - recap'!$D13),0))+IF($J13&lt;=5,(($J13-0)*Schedule!$C$6*'Import - recap'!$D13),5*Schedule!$C$6*'Import - recap'!$D13)+IF(AND($J13&gt;5,$J13&lt;=10),($J13-5)*Schedule!$C$7*'Import - recap'!$D13,IF($J13&gt;10,5*Schedule!$C$7*'Import - recap'!$D13)+IF(AND($J13&gt;10,$J13&lt;=15),($J13-10)*Schedule!$C$8*'Import - recap'!$D13,IF($J13&gt;15,5*Schedule!$C$8*'Import - recap'!$D13)+IF(AND($J13&gt;15,$J13&lt;=45),($J13-15)*Schedule!$C$9*'Import - recap'!$D13,IF($J13&gt;45,30*Schedule!$C$9*'Import - recap'!$D13)+(IF($J13&gt;45,(($J13-45)*Schedule!$C$9*'Import - recap'!$D13))))))+($J13*$D13*Schedule!$C$2),IF($J13&lt;2,0,IF($J13&lt;=7,(($J13-2)*Schedule!$D$3*$D13),5*Schedule!$D$3*$D13))+IF(AND($J13&gt;7,$J13&lt;=15),($J13-7)*Schedule!$D$4*$D13,IF($J13&gt;15,8*Schedule!$D$4*$D13))+(IF($J13&gt;15,(($J13-15)*Schedule!$D$5*'Import - recap'!$D13),0))+IF($J13&lt;=5,(($J13-0)*Schedule!$D$6*'Import - recap'!$D13),5*Schedule!$D$6*'Import - recap'!$D13)+IF(AND($J13&gt;5,$J13&lt;=10),($J13-5)*Schedule!$D$7*'Import - recap'!$D13,IF($J13&gt;10,5*Schedule!$D$7*'Import - recap'!$D13)+IF(AND($J13&gt;10,$J13&lt;=15),($J13-10)*Schedule!$D$8*'Import - recap'!$D13,IF($J13&gt;15,5*Schedule!$D$8*'Import - recap'!$D13)+IF(AND($J13&gt;15,$J13&lt;=45),($J13-15)*Schedule!$D$9*'Import - recap'!$D13,IF($J13&gt;45,30*Schedule!$D$9*'Import - recap'!$D13)+(IF($J13&gt;45,(($J13-45)*Schedule!$D$9*'Import - recap'!$D13))))))+($J13*$D13*Schedule!$D$2)),"erreur")))</f>
        <v>0</v>
      </c>
      <c r="AN13" s="14" t="str">
        <f t="shared" si="13"/>
        <v>0</v>
      </c>
      <c r="AO13" s="14"/>
      <c r="AP13" s="14" t="str">
        <f>IF(SUMIFS('Import Record Details'!$O:$O,'Import Record Details'!$F:$F,'Import - recap'!$AP$3,'Import Record Details'!$A:$A,'Import - recap'!$A13)=0,IF($G13="Arrived at Port",$X13*0.04%,IF($G13="arrivé a l'usine non payé",$X13*0.04%,IF($G13="Paid, Not Yet Arrived at Factory",$X13*0.04%,""))),SUMIFS('Import Record Details'!$O:$O,'Import Record Details'!$F:$F,'Import - recap'!$AP$3,'Import Record Details'!$A:$A,'Import - recap'!$A13))</f>
        <v/>
      </c>
      <c r="AQ13" s="14" t="str">
        <f>IF(SUMIFS('Import Record Details'!$O:$O,'Import Record Details'!$F:$F,'Import - recap'!$AQ$3,'Import Record Details'!$A:$A,'Import - recap'!$A13)=0,IF($G13="Arrived at Port",$D13*650,IF($G13="arrivé a l'usine non payé",$D13*650,IF($G13="Paid, Not Yet Arrived at Factory",$D13*650,""))),SUMIFS('Import Record Details'!$O:$O,'Import Record Details'!$F:$F,'Import - recap'!$AQ$3,'Import Record Details'!$A:$A,'Import - recap'!$A13))</f>
        <v/>
      </c>
      <c r="AR13" s="14" t="str">
        <f>IF(SUMIFS('Import Record Details'!$O:$O,'Import Record Details'!$F:$F,'Import - recap'!$AR$3,'Import Record Details'!$A:$A,'Import - recap'!$A13)=0,IF($G13="Arrived at Port",$X13*0.2%,IF($G13="arrivé a l'usine non payé",$X13*0.2%,IF($G13="Paid, Not Yet Arrived at Factory",$X13*0.2%,""))),SUMIFS('Import Record Details'!$O:$O,'Import Record Details'!$F:$F,'Import - recap'!$AR$3,'Import Record Details'!$A:$A,'Import - recap'!$A13))</f>
        <v/>
      </c>
      <c r="AS13" s="14" t="str">
        <f>IF(SUMIFS('Import Record Details'!$O:$O,'Import Record Details'!$F:$F,'Import - recap'!$AS$3,'Import Record Details'!$A:$A,'Import - recap'!$A13)=0,IF($G13="Arrived at Port",$X13*0.06%,IF($G13="arrivé a l'usine non payé",$X13*0.06%,IF($G13="Paid, Not Yet Arrived at Factory",$X13*0.06%,""))),SUMIFS('Import Record Details'!$O:$O,'Import Record Details'!$F:$F,'Import - recap'!$AS$3,'Import Record Details'!$A:$A,'Import - recap'!$A13))</f>
        <v/>
      </c>
      <c r="AT13" s="54"/>
      <c r="AU13" s="72" t="str">
        <f t="shared" si="14"/>
        <v/>
      </c>
      <c r="AV13" s="15">
        <f t="shared" si="29"/>
        <v>0</v>
      </c>
      <c r="AW13" s="15" t="str">
        <f t="shared" si="30"/>
        <v/>
      </c>
      <c r="AX13" s="76" t="b">
        <f t="shared" si="16"/>
        <v>0</v>
      </c>
      <c r="AY13" s="17">
        <f>SUMIFS('Import Record Details'!$O:$O,'Import Record Details'!$A:$A,'Import - recap'!$A13)</f>
        <v>0</v>
      </c>
      <c r="AZ13" s="16" t="b">
        <f>IF((+SUMIFS('Import Record Details'!$O:$O,'Import Record Details'!$A:$A,'Import - recap'!$A13,'Import Record Details'!$F:$F,'Import - recap'!$AZ$3)=0),IF($G13="cloturé",IF(B13="SK",IF($E13=20,IF(AND($J13&gt;12,$J13&lt;=21),($J13-12)*Schedule!$C$14*'Import - recap'!$D13,IF($J13&gt;21,9*Schedule!$C$14*'Import - recap'!$D13)+(IF($J13&gt;21,(($J13-21)*Schedule!$C$15*'Import - recap'!$D13)))),IF(AND($J13&gt;12,$J13&lt;=21),($J13-12)*Schedule!$D$14*'Import - recap'!$D13,IF($J13&gt;21,9*Schedule!$D$14*'Import - recap'!$D13)+(IF($J13&gt;21,(($J13-21)*Schedule!$D$15*'Import - recap'!$D13))))),IF(B13="Company 1",IF($E13=20,IF(AND($J13&gt;12,$J13&lt;=21),($J13-12)*Schedule!$C$16*'Import - recap'!$D13,IF($J13&gt;21,9*Schedule!$C$16*'Import - recap'!$D13)+(IF($J13&gt;21,(($J13-21)*Schedule!$C$17*'Import - recap'!$D13)))),IF(AND($J13&gt;12,$J13&lt;=21),($J13-12)*Schedule!$D$16*'Import - recap'!$D13,IF($J13&gt;21,9*Schedule!$D$16*'Import - recap'!$D13)+(IF($J13&gt;21,(($J13-21)*Schedule!$D$17*'Import - recap'!$D13))))),IF(B13="Company 2",IF($E13=20,IF(AND($J13&gt;12,$J13&lt;=21),($J13-12)*Schedule!$C$18*'Import - recap'!$D13,IF($J13&gt;21,9*Schedule!$C$18*'Import - recap'!$D13)+(IF($J13&gt;21,(($J13-21)*Schedule!$C$19*'Import - recap'!$D13)))),IF(AND($J13&gt;12,$J13&lt;=21),($J13-12)*Schedule!$D$18*'Import - recap'!$D13,IF($J13&gt;21,9*Schedule!$D$18*'Import - recap'!$D13)+(IF($J13&gt;21,(($J13-21)*Schedule!$D$19*'Import - recap'!$D13)))))))),IF($G13="arrivé a l'usine non payé",IF(B13="SK",IF($E13=20,IF(AND($J13&gt;12,$J13&lt;=21),($J13-12)*Schedule!$C$14*'Import - recap'!$D13,IF($J13&gt;21,9*Schedule!$C$14*'Import - recap'!$D13)+(IF($J13&gt;21,(($J13-21)*Schedule!$C$15*'Import - recap'!$D13)))),IF(AND($J13&gt;12,$J13&lt;=21),($J13-12)*Schedule!$D$14*'Import - recap'!$D13,IF($J13&gt;21,9*Schedule!$D$14*'Import - recap'!$D13)+(IF($J13&gt;21,(($J13-21)*Schedule!$D$15*'Import - recap'!$D13))))),IF(B13="Company 1",IF($E13=20,IF(AND($J13&gt;12,$J13&lt;=21),($J13-12)*Schedule!$C$16*'Import - recap'!$D13,IF($J13&gt;21,9*Schedule!$C$16*'Import - recap'!$D13)+(IF($J13&gt;21,(($J13-21)*Schedule!$C$17*'Import - recap'!$D13)))),IF(AND($J13&gt;12,$J13&lt;=21),($J13-12)*Schedule!$D$16*'Import - recap'!$D13,IF($J13&gt;21,9*Schedule!$D$16*'Import - recap'!$D13)+(IF($J13&gt;21,(($J13-21)*Schedule!$D$17*'Import - recap'!$D13))))),IF(B13="Company 2",IF($E13=20,IF(AND($J13&gt;12,$J13&lt;=21),($J13-12)*Schedule!$C$18*'Import - recap'!$D13,IF($J13&gt;21,9*Schedule!$C$18*'Import - recap'!$D13)+(IF($J13&gt;21,(($J13-21)*Schedule!$C$19*'Import - recap'!$D13)))),IF(AND($J13&gt;12,$J13&lt;=21),($J13-12)*Schedule!$D$18*'Import - recap'!$D13,IF($J13&gt;21,9*Schedule!$D$18*'Import - recap'!$D13)+(IF($J13&gt;21,(($J13-21)*Schedule!$D$19*'Import - recap'!$D13)))))))))),SUMIFS('Import Record Details'!$O:$O,'Import Record Details'!$A:$A,'Import - recap'!$A13,'Import Record Details'!$F:$F,'Import - recap'!$AZ$3))</f>
        <v>0</v>
      </c>
      <c r="BA13" s="17" t="str">
        <f t="shared" si="31"/>
        <v/>
      </c>
      <c r="BB13" s="17">
        <f t="shared" si="32"/>
        <v>0</v>
      </c>
      <c r="BC13" s="57" t="e">
        <f t="shared" si="33"/>
        <v>#VALUE!</v>
      </c>
    </row>
    <row r="14" spans="1:55" ht="25.5" customHeight="1" x14ac:dyDescent="0.25">
      <c r="A14" s="3"/>
      <c r="B14" s="3"/>
      <c r="C14" s="3"/>
      <c r="D14" s="3"/>
      <c r="E14" s="3"/>
      <c r="F14" s="40"/>
      <c r="G14" s="52"/>
      <c r="H14" s="20"/>
      <c r="I14" s="20"/>
      <c r="J14" s="31">
        <f t="shared" ca="1" si="24"/>
        <v>45980</v>
      </c>
      <c r="K14" s="31"/>
      <c r="L14" s="19"/>
      <c r="M14" s="10"/>
      <c r="N14" s="11"/>
      <c r="O14" s="20"/>
      <c r="P14" s="12"/>
      <c r="Q14" s="21"/>
      <c r="R14" s="13"/>
      <c r="S14" s="3"/>
      <c r="T14" s="77"/>
      <c r="U14" s="18">
        <f>+SUMIFS('Import Record Details'!$M:$M,'Import Record Details'!$A:$A,'Import - recap'!$A14)</f>
        <v>0</v>
      </c>
      <c r="V14" s="14" t="e">
        <f t="shared" si="25"/>
        <v>#DIV/0!</v>
      </c>
      <c r="W14" s="14"/>
      <c r="X14" s="14" t="str">
        <f t="shared" si="1"/>
        <v/>
      </c>
      <c r="Y14" s="49" t="b">
        <f>IF($G14="Arrived at Port",IF($E14&lt;&gt;"",IF($E14=20,IF($J14&lt;2,0,IF($J14&lt;=7,(($J14-2)*Schedule!$C$3*$D14),5*Schedule!$C$3*$D14))+IF(AND($J14&gt;7,$J14&lt;=15),($J14-7)*Schedule!$C$4*$D14,IF($J14&gt;15,8*Schedule!$C$4*$D14))+(IF($J14&gt;15,(($J14-15)*Schedule!$C$5*'Import - recap'!$D14),0))+IF($J14&lt;=5,(($J14-0)*Schedule!$C$6*'Import - recap'!$D14),5*Schedule!$C$6*'Import - recap'!$D14)+IF(AND($J14&gt;5,$J14&lt;=10),($J14-5)*Schedule!$C$7*'Import - recap'!$D14,IF($J14&gt;10,5*Schedule!$C$7*'Import - recap'!$D14)+IF(AND($J14&gt;10,$J14&lt;=15),($J14-10)*Schedule!$C$8*'Import - recap'!$D14,IF($J14&gt;15,5*Schedule!$C$8*'Import - recap'!$D14)+IF(AND($J14&gt;15,$J14&lt;=45),($J14-15)*Schedule!$C$9*'Import - recap'!$D14,IF($J14&gt;45,30*Schedule!$C$9*'Import - recap'!$D14)+(IF($J14&gt;45,(($J14-45)*Schedule!$C$9*'Import - recap'!$D14))))))+($J14*$D14*Schedule!$C$2),IF($J14&lt;2,0,IF($J14&lt;=7,(($J14-2)*Schedule!$D$3*$D14),5*Schedule!$D$3*$D14))+IF(AND($J14&gt;7,$J14&lt;=15),($J14-7)*Schedule!$D$4*$D14,IF($J14&gt;15,8*Schedule!$D$4*$D14))+(IF($J14&gt;15,(($J14-15)*Schedule!$D$5*'Import - recap'!$D14),0))+IF($J14&lt;=5,(($J14-0)*Schedule!$D$6*'Import - recap'!$D14),5*Schedule!$D$6*'Import - recap'!$D14)+IF(AND($J14&gt;5,$J14&lt;=10),($J14-5)*Schedule!$D$7*'Import - recap'!$D14,IF($J14&gt;10,5*Schedule!$D$7*'Import - recap'!$D14)+IF(AND($J14&gt;10,$J14&lt;=15),($J14-10)*Schedule!$D$8*'Import - recap'!$D14,IF($J14&gt;15,5*Schedule!$D$8*'Import - recap'!$D14)+IF(AND($J14&gt;15,$J14&lt;=45),($J14-15)*Schedule!$D$9*'Import - recap'!$D14,IF($J14&gt;45,30*Schedule!$D$9*'Import - recap'!$D14)+(IF($J14&gt;45,(($J14-45)*Schedule!$D$9*'Import - recap'!$D14))))))+($J14*$D14*Schedule!$D$2)),"erreur"),IF($G14="Paid, Not Yet Arrived at Factory",IF($E14&lt;&gt;"",IF($E14=20,IF($J14&lt;2,0,IF($J14&lt;=7,(($J14-2)*Schedule!$C$3*$D14),5*Schedule!$C$3*$D14))+IF(AND($J14&gt;7,$J14&lt;=15),($J14-7)*Schedule!$C$4*$D14,IF($J14&gt;15,8*Schedule!$C$4*$D14))+(IF($J14&gt;15,(($J14-15)*Schedule!$C$5*'Import - recap'!$D14),0))+IF($J14&lt;=5,(($J14-0)*Schedule!$C$6*'Import - recap'!$D14),5*Schedule!$C$6*'Import - recap'!$D14)+IF(AND($J14&gt;5,$J14&lt;=10),($J14-5)*Schedule!$C$7*'Import - recap'!$D14,IF($J14&gt;10,5*Schedule!$C$7*'Import - recap'!$D14)+IF(AND($J14&gt;10,$J14&lt;=15),($J14-10)*Schedule!$C$8*'Import - recap'!$D14,IF($J14&gt;15,5*Schedule!$C$8*'Import - recap'!$D14)+IF(AND($J14&gt;15,$J14&lt;=45),($J14-15)*Schedule!$C$9*'Import - recap'!$D14,IF($J14&gt;45,30*Schedule!$C$9*'Import - recap'!$D14)+(IF($J14&gt;45,(($J14-45)*Schedule!$C$9*'Import - recap'!$D14))))))+($J14*$D14*Schedule!$C$2),IF($J14&lt;2,0,IF($J14&lt;=7,(($J14-2)*Schedule!$D$3*$D14),5*Schedule!$D$3*$D14))+IF(AND($J14&gt;7,$J14&lt;=15),($J14-7)*Schedule!$D$4*$D14,IF($J14&gt;15,8*Schedule!$D$4*$D14))+(IF($J14&gt;15,(($J14-15)*Schedule!$D$5*'Import - recap'!$D14),0))+IF($J14&lt;=5,(($J14-0)*Schedule!$D$6*'Import - recap'!$D14),5*Schedule!$D$6*'Import - recap'!$D14)+IF(AND($J14&gt;5,$J14&lt;=10),($J14-5)*Schedule!$D$7*'Import - recap'!$D14,IF($J14&gt;10,5*Schedule!$D$7*'Import - recap'!$D14)+IF(AND($J14&gt;10,$J14&lt;=15),($J14-10)*Schedule!$D$8*'Import - recap'!$D14,IF($J14&gt;15,5*Schedule!$D$8*'Import - recap'!$D14)+IF(AND($J14&gt;15,$J14&lt;=45),($J14-15)*Schedule!$D$9*'Import - recap'!$D14,IF($J14&gt;45,30*Schedule!$D$9*'Import - recap'!$D14)+(IF($J14&gt;45,(($J14-45)*Schedule!$D$9*'Import - recap'!$D14))))))+($J14*$D14*Schedule!$D$2)),"erreur")))</f>
        <v>0</v>
      </c>
      <c r="Z14" s="41" t="b">
        <f>IF($G14="Arrived at Port",IF(B14="SK",IF($E14=20,IF(AND($J14&gt;12,$J14&lt;=21),($J14-12)*Schedule!$C$14*'Import - recap'!$D14,IF($J14&gt;21,9*Schedule!$C$14*'Import - recap'!$D14)+(IF($J14&gt;21,(($J14-21)*Schedule!$C$15*'Import - recap'!$D14)))),IF(AND($J14&gt;12,$J14&lt;=21),($J14-12)*Schedule!$D$14*'Import - recap'!$D14,IF($J14&gt;21,9*Schedule!$D$14*'Import - recap'!$D14)+(IF($J14&gt;21,(($J14-21)*Schedule!$D$15*'Import - recap'!$D14))))),IF(B14="Company 1",IF($E14=20,IF(AND($J14&gt;12,$J14&lt;=21),($J14-12)*Schedule!$C$16*'Import - recap'!$D14,IF($J14&gt;21,9*Schedule!$C$16*'Import - recap'!$D14)+(IF($J14&gt;21,(($J14-21)*Schedule!$C$17*'Import - recap'!$D14)))),IF(AND($J14&gt;12,$J14&lt;=21),($J14-12)*Schedule!$D$16*'Import - recap'!$D14,IF($J14&gt;21,9*Schedule!$D$16*'Import - recap'!$D14)+(IF($J14&gt;21,(($J14-21)*Schedule!$D$17*'Import - recap'!$D14))))),IF(B14="Company 2",IF($E14=20,IF(AND($J14&gt;12,$J14&lt;=21),($J14-12)*Schedule!$C$18*'Import - recap'!$D14,IF($J14&gt;21,9*Schedule!$C$18*'Import - recap'!$D14)+(IF($J14&gt;21,(($J14-21)*Schedule!$C$19*'Import - recap'!$D14)))),IF(AND($J14&gt;12,$J14&lt;=21),($J14-12)*Schedule!$D$18*'Import - recap'!$D14,IF($J14&gt;21,9*Schedule!$D$18*'Import - recap'!$D14)+(IF($J14&gt;21,(($J14-21)*Schedule!$D$19*'Import - recap'!$D14)))))))),IF($G14="Paid, Not Yet Arrived at Factory",IF(B14="SK",IF($E14=20,IF(AND($J14&gt;12,$J14&lt;=21),($J14-12)*Schedule!$C$14*'Import - recap'!$D14,IF($J14&gt;21,9*Schedule!$C$14*'Import - recap'!$D14)+(IF($J14&gt;21,(($J14-21)*Schedule!$C$15*'Import - recap'!$D14)))),IF(AND($J14&gt;12,$J14&lt;=21),($J14-12)*Schedule!$D$14*'Import - recap'!$D14,IF($J14&gt;21,9*Schedule!$D$14*'Import - recap'!$D14)+(IF($J14&gt;21,(($J14-21)*Schedule!$D$15*'Import - recap'!$D14))))),IF(B14="Company 1",IF($E14=20,IF(AND($J14&gt;12,$J14&lt;=21),($J14-12)*Schedule!$C$16*'Import - recap'!$D14,IF($J14&gt;21,9*Schedule!$C$16*'Import - recap'!$D14)+(IF($J14&gt;21,(($J14-21)*Schedule!$C$17*'Import - recap'!$D14)))),IF(AND($J14&gt;12,$J14&lt;=21),($J14-12)*Schedule!$D$16*'Import - recap'!$D14,IF($J14&gt;21,9*Schedule!$D$16*'Import - recap'!$D14)+(IF($J14&gt;21,(($J14-21)*Schedule!$D$17*'Import - recap'!$D14))))),IF(B14="Company 2",IF($E14=20,IF(AND($J14&gt;12,$J14&lt;=21),($J14-12)*Schedule!$C$18*'Import - recap'!$D14,IF($J14&gt;21,9*Schedule!$C$18*'Import - recap'!$D14)+(IF($J14&gt;21,(($J14-21)*Schedule!$C$19*'Import - recap'!$D14)))),IF(AND($J14&gt;12,$J14&lt;=21),($J14-12)*Schedule!$D$18*'Import - recap'!$D14,IF($J14&gt;21,9*Schedule!$D$18*'Import - recap'!$D14)+(IF($J14&gt;21,(($J14-21)*Schedule!$D$19*'Import - recap'!$D14))))))))))</f>
        <v>0</v>
      </c>
      <c r="AA14" s="14" t="str">
        <f t="shared" si="2"/>
        <v>0</v>
      </c>
      <c r="AB14" s="14" t="str">
        <f t="shared" si="22"/>
        <v/>
      </c>
      <c r="AC14" s="14" t="str">
        <f t="shared" si="3"/>
        <v/>
      </c>
      <c r="AD14" s="14" t="str">
        <f t="shared" si="4"/>
        <v/>
      </c>
      <c r="AE14" s="14" t="str">
        <f t="shared" si="5"/>
        <v/>
      </c>
      <c r="AF14" s="14" t="str">
        <f t="shared" si="6"/>
        <v/>
      </c>
      <c r="AG14" s="70" t="str">
        <f t="shared" si="26"/>
        <v/>
      </c>
      <c r="AH14" s="70" t="str">
        <f t="shared" si="27"/>
        <v/>
      </c>
      <c r="AI14" s="72" t="str">
        <f t="shared" si="9"/>
        <v/>
      </c>
      <c r="AJ14" s="34" t="str">
        <f t="shared" si="10"/>
        <v/>
      </c>
      <c r="AK14" s="34" t="str">
        <f t="shared" si="11"/>
        <v/>
      </c>
      <c r="AL14" s="54" t="str">
        <f t="shared" si="28"/>
        <v/>
      </c>
      <c r="AM14" s="49" t="b">
        <f>IF($G14="Arrived at Port",IF($E14&lt;&gt;"",IF($E14=20,IF($J14&lt;2,0,IF($J14&lt;=7,(($J14-2)*Schedule!$C$3*$D14),5*Schedule!$C$3*$D14))+IF(AND($J14&gt;7,$J14&lt;=15),($J14-7)*Schedule!$C$4*$D14,IF($J14&gt;15,8*Schedule!$C$4*$D14))+(IF($J14&gt;15,(($J14-15)*Schedule!$C$5*'Import - recap'!$D14),0))+IF($J14&lt;=5,(($J14-0)*Schedule!$C$6*'Import - recap'!$D14),5*Schedule!$C$6*'Import - recap'!$D14)+IF(AND($J14&gt;5,$J14&lt;=10),($J14-5)*Schedule!$C$7*'Import - recap'!$D14,IF($J14&gt;10,5*Schedule!$C$7*'Import - recap'!$D14)+IF(AND($J14&gt;10,$J14&lt;=15),($J14-10)*Schedule!$C$8*'Import - recap'!$D14,IF($J14&gt;15,5*Schedule!$C$8*'Import - recap'!$D14)+IF(AND($J14&gt;15,$J14&lt;=45),($J14-15)*Schedule!$C$9*'Import - recap'!$D14,IF($J14&gt;45,30*Schedule!$C$9*'Import - recap'!$D14)+(IF($J14&gt;45,(($J14-45)*Schedule!$C$9*'Import - recap'!$D14))))))+($J14*$D14*Schedule!$C$2),IF($J14&lt;2,0,IF($J14&lt;=7,(($J14-2)*Schedule!$D$3*$D14),5*Schedule!$D$3*$D14))+IF(AND($J14&gt;7,$J14&lt;=15),($J14-7)*Schedule!$D$4*$D14,IF($J14&gt;15,8*Schedule!$D$4*$D14))+(IF($J14&gt;15,(($J14-15)*Schedule!$D$5*'Import - recap'!$D14),0))+IF($J14&lt;=5,(($J14-0)*Schedule!$D$6*'Import - recap'!$D14),5*Schedule!$D$6*'Import - recap'!$D14)+IF(AND($J14&gt;5,$J14&lt;=10),($J14-5)*Schedule!$D$7*'Import - recap'!$D14,IF($J14&gt;10,5*Schedule!$D$7*'Import - recap'!$D14)+IF(AND($J14&gt;10,$J14&lt;=15),($J14-10)*Schedule!$D$8*'Import - recap'!$D14,IF($J14&gt;15,5*Schedule!$D$8*'Import - recap'!$D14)+IF(AND($J14&gt;15,$J14&lt;=45),($J14-15)*Schedule!$D$9*'Import - recap'!$D14,IF($J14&gt;45,30*Schedule!$D$9*'Import - recap'!$D14)+(IF($J14&gt;45,(($J14-45)*Schedule!$D$9*'Import - recap'!$D14))))))+($J14*$D14*Schedule!$D$2)),"erreur"),IF($G14="Paid, Not Yet Arrived at Factory",IF($E14&lt;&gt;"",IF($E14=20,IF($J14&lt;2,0,IF($J14&lt;=7,(($J14-2)*Schedule!$C$3*$D14),5*Schedule!$C$3*$D14))+IF(AND($J14&gt;7,$J14&lt;=15),($J14-7)*Schedule!$C$4*$D14,IF($J14&gt;15,8*Schedule!$C$4*$D14))+(IF($J14&gt;15,(($J14-15)*Schedule!$C$5*'Import - recap'!$D14),0))+IF($J14&lt;=5,(($J14-0)*Schedule!$C$6*'Import - recap'!$D14),5*Schedule!$C$6*'Import - recap'!$D14)+IF(AND($J14&gt;5,$J14&lt;=10),($J14-5)*Schedule!$C$7*'Import - recap'!$D14,IF($J14&gt;10,5*Schedule!$C$7*'Import - recap'!$D14)+IF(AND($J14&gt;10,$J14&lt;=15),($J14-10)*Schedule!$C$8*'Import - recap'!$D14,IF($J14&gt;15,5*Schedule!$C$8*'Import - recap'!$D14)+IF(AND($J14&gt;15,$J14&lt;=45),($J14-15)*Schedule!$C$9*'Import - recap'!$D14,IF($J14&gt;45,30*Schedule!$C$9*'Import - recap'!$D14)+(IF($J14&gt;45,(($J14-45)*Schedule!$C$9*'Import - recap'!$D14))))))+($J14*$D14*Schedule!$C$2),IF($J14&lt;2,0,IF($J14&lt;=7,(($J14-2)*Schedule!$D$3*$D14),5*Schedule!$D$3*$D14))+IF(AND($J14&gt;7,$J14&lt;=15),($J14-7)*Schedule!$D$4*$D14,IF($J14&gt;15,8*Schedule!$D$4*$D14))+(IF($J14&gt;15,(($J14-15)*Schedule!$D$5*'Import - recap'!$D14),0))+IF($J14&lt;=5,(($J14-0)*Schedule!$D$6*'Import - recap'!$D14),5*Schedule!$D$6*'Import - recap'!$D14)+IF(AND($J14&gt;5,$J14&lt;=10),($J14-5)*Schedule!$D$7*'Import - recap'!$D14,IF($J14&gt;10,5*Schedule!$D$7*'Import - recap'!$D14)+IF(AND($J14&gt;10,$J14&lt;=15),($J14-10)*Schedule!$D$8*'Import - recap'!$D14,IF($J14&gt;15,5*Schedule!$D$8*'Import - recap'!$D14)+IF(AND($J14&gt;15,$J14&lt;=45),($J14-15)*Schedule!$D$9*'Import - recap'!$D14,IF($J14&gt;45,30*Schedule!$D$9*'Import - recap'!$D14)+(IF($J14&gt;45,(($J14-45)*Schedule!$D$9*'Import - recap'!$D14))))))+($J14*$D14*Schedule!$D$2)),"erreur")))</f>
        <v>0</v>
      </c>
      <c r="AN14" s="14" t="str">
        <f t="shared" si="13"/>
        <v>0</v>
      </c>
      <c r="AO14" s="14"/>
      <c r="AP14" s="14" t="str">
        <f>IF(SUMIFS('Import Record Details'!$O:$O,'Import Record Details'!$F:$F,'Import - recap'!$AP$3,'Import Record Details'!$A:$A,'Import - recap'!$A14)=0,IF($G14="Arrived at Port",$X14*0.04%,IF($G14="arrivé a l'usine non payé",$X14*0.04%,IF($G14="Paid, Not Yet Arrived at Factory",$X14*0.04%,""))),SUMIFS('Import Record Details'!$O:$O,'Import Record Details'!$F:$F,'Import - recap'!$AP$3,'Import Record Details'!$A:$A,'Import - recap'!$A14))</f>
        <v/>
      </c>
      <c r="AQ14" s="14" t="str">
        <f>IF(SUMIFS('Import Record Details'!$O:$O,'Import Record Details'!$F:$F,'Import - recap'!$AQ$3,'Import Record Details'!$A:$A,'Import - recap'!$A14)=0,IF($G14="Arrived at Port",$D14*650,IF($G14="arrivé a l'usine non payé",$D14*650,IF($G14="Paid, Not Yet Arrived at Factory",$D14*650,""))),SUMIFS('Import Record Details'!$O:$O,'Import Record Details'!$F:$F,'Import - recap'!$AQ$3,'Import Record Details'!$A:$A,'Import - recap'!$A14))</f>
        <v/>
      </c>
      <c r="AR14" s="14" t="str">
        <f>IF(SUMIFS('Import Record Details'!$O:$O,'Import Record Details'!$F:$F,'Import - recap'!$AR$3,'Import Record Details'!$A:$A,'Import - recap'!$A14)=0,IF($G14="Arrived at Port",$X14*0.2%,IF($G14="arrivé a l'usine non payé",$X14*0.2%,IF($G14="Paid, Not Yet Arrived at Factory",$X14*0.2%,""))),SUMIFS('Import Record Details'!$O:$O,'Import Record Details'!$F:$F,'Import - recap'!$AR$3,'Import Record Details'!$A:$A,'Import - recap'!$A14))</f>
        <v/>
      </c>
      <c r="AS14" s="14" t="str">
        <f>IF(SUMIFS('Import Record Details'!$O:$O,'Import Record Details'!$F:$F,'Import - recap'!$AS$3,'Import Record Details'!$A:$A,'Import - recap'!$A14)=0,IF($G14="Arrived at Port",$X14*0.06%,IF($G14="arrivé a l'usine non payé",$X14*0.06%,IF($G14="Paid, Not Yet Arrived at Factory",$X14*0.06%,""))),SUMIFS('Import Record Details'!$O:$O,'Import Record Details'!$F:$F,'Import - recap'!$AS$3,'Import Record Details'!$A:$A,'Import - recap'!$A14))</f>
        <v/>
      </c>
      <c r="AT14" s="54"/>
      <c r="AU14" s="72" t="str">
        <f t="shared" si="14"/>
        <v/>
      </c>
      <c r="AV14" s="15">
        <f t="shared" si="29"/>
        <v>0</v>
      </c>
      <c r="AW14" s="15" t="str">
        <f t="shared" si="30"/>
        <v/>
      </c>
      <c r="AX14" s="76" t="b">
        <f t="shared" si="16"/>
        <v>0</v>
      </c>
      <c r="AY14" s="17">
        <f>SUMIFS('Import Record Details'!$O:$O,'Import Record Details'!$A:$A,'Import - recap'!$A14)</f>
        <v>0</v>
      </c>
      <c r="AZ14" s="16" t="b">
        <f>IF((+SUMIFS('Import Record Details'!$O:$O,'Import Record Details'!$A:$A,'Import - recap'!$A14,'Import Record Details'!$F:$F,'Import - recap'!$AZ$3)=0),IF($G14="cloturé",IF(B14="SK",IF($E14=20,IF(AND($J14&gt;12,$J14&lt;=21),($J14-12)*Schedule!$C$14*'Import - recap'!$D14,IF($J14&gt;21,9*Schedule!$C$14*'Import - recap'!$D14)+(IF($J14&gt;21,(($J14-21)*Schedule!$C$15*'Import - recap'!$D14)))),IF(AND($J14&gt;12,$J14&lt;=21),($J14-12)*Schedule!$D$14*'Import - recap'!$D14,IF($J14&gt;21,9*Schedule!$D$14*'Import - recap'!$D14)+(IF($J14&gt;21,(($J14-21)*Schedule!$D$15*'Import - recap'!$D14))))),IF(B14="Company 1",IF($E14=20,IF(AND($J14&gt;12,$J14&lt;=21),($J14-12)*Schedule!$C$16*'Import - recap'!$D14,IF($J14&gt;21,9*Schedule!$C$16*'Import - recap'!$D14)+(IF($J14&gt;21,(($J14-21)*Schedule!$C$17*'Import - recap'!$D14)))),IF(AND($J14&gt;12,$J14&lt;=21),($J14-12)*Schedule!$D$16*'Import - recap'!$D14,IF($J14&gt;21,9*Schedule!$D$16*'Import - recap'!$D14)+(IF($J14&gt;21,(($J14-21)*Schedule!$D$17*'Import - recap'!$D14))))),IF(B14="Company 2",IF($E14=20,IF(AND($J14&gt;12,$J14&lt;=21),($J14-12)*Schedule!$C$18*'Import - recap'!$D14,IF($J14&gt;21,9*Schedule!$C$18*'Import - recap'!$D14)+(IF($J14&gt;21,(($J14-21)*Schedule!$C$19*'Import - recap'!$D14)))),IF(AND($J14&gt;12,$J14&lt;=21),($J14-12)*Schedule!$D$18*'Import - recap'!$D14,IF($J14&gt;21,9*Schedule!$D$18*'Import - recap'!$D14)+(IF($J14&gt;21,(($J14-21)*Schedule!$D$19*'Import - recap'!$D14)))))))),IF($G14="arrivé a l'usine non payé",IF(B14="SK",IF($E14=20,IF(AND($J14&gt;12,$J14&lt;=21),($J14-12)*Schedule!$C$14*'Import - recap'!$D14,IF($J14&gt;21,9*Schedule!$C$14*'Import - recap'!$D14)+(IF($J14&gt;21,(($J14-21)*Schedule!$C$15*'Import - recap'!$D14)))),IF(AND($J14&gt;12,$J14&lt;=21),($J14-12)*Schedule!$D$14*'Import - recap'!$D14,IF($J14&gt;21,9*Schedule!$D$14*'Import - recap'!$D14)+(IF($J14&gt;21,(($J14-21)*Schedule!$D$15*'Import - recap'!$D14))))),IF(B14="Company 1",IF($E14=20,IF(AND($J14&gt;12,$J14&lt;=21),($J14-12)*Schedule!$C$16*'Import - recap'!$D14,IF($J14&gt;21,9*Schedule!$C$16*'Import - recap'!$D14)+(IF($J14&gt;21,(($J14-21)*Schedule!$C$17*'Import - recap'!$D14)))),IF(AND($J14&gt;12,$J14&lt;=21),($J14-12)*Schedule!$D$16*'Import - recap'!$D14,IF($J14&gt;21,9*Schedule!$D$16*'Import - recap'!$D14)+(IF($J14&gt;21,(($J14-21)*Schedule!$D$17*'Import - recap'!$D14))))),IF(B14="Company 2",IF($E14=20,IF(AND($J14&gt;12,$J14&lt;=21),($J14-12)*Schedule!$C$18*'Import - recap'!$D14,IF($J14&gt;21,9*Schedule!$C$18*'Import - recap'!$D14)+(IF($J14&gt;21,(($J14-21)*Schedule!$C$19*'Import - recap'!$D14)))),IF(AND($J14&gt;12,$J14&lt;=21),($J14-12)*Schedule!$D$18*'Import - recap'!$D14,IF($J14&gt;21,9*Schedule!$D$18*'Import - recap'!$D14)+(IF($J14&gt;21,(($J14-21)*Schedule!$D$19*'Import - recap'!$D14)))))))))),SUMIFS('Import Record Details'!$O:$O,'Import Record Details'!$A:$A,'Import - recap'!$A14,'Import Record Details'!$F:$F,'Import - recap'!$AZ$3))</f>
        <v>0</v>
      </c>
      <c r="BA14" s="17" t="str">
        <f t="shared" si="31"/>
        <v/>
      </c>
      <c r="BB14" s="17">
        <f t="shared" si="32"/>
        <v>0</v>
      </c>
      <c r="BC14" s="57" t="e">
        <f t="shared" si="33"/>
        <v>#VALUE!</v>
      </c>
    </row>
    <row r="15" spans="1:55" ht="25.5" customHeight="1" x14ac:dyDescent="0.25">
      <c r="A15" s="3"/>
      <c r="B15" s="3"/>
      <c r="C15" s="3"/>
      <c r="D15" s="3"/>
      <c r="E15" s="3"/>
      <c r="F15" s="40"/>
      <c r="G15" s="52"/>
      <c r="H15" s="20"/>
      <c r="I15" s="20"/>
      <c r="J15" s="31">
        <f t="shared" ca="1" si="24"/>
        <v>45980</v>
      </c>
      <c r="K15" s="31"/>
      <c r="L15" s="19"/>
      <c r="M15" s="10"/>
      <c r="N15" s="11"/>
      <c r="O15" s="20"/>
      <c r="P15" s="12"/>
      <c r="Q15" s="21"/>
      <c r="R15" s="13"/>
      <c r="S15" s="3"/>
      <c r="T15" s="77"/>
      <c r="U15" s="18">
        <f>+SUMIFS('Import Record Details'!$M:$M,'Import Record Details'!$A:$A,'Import - recap'!$A15)</f>
        <v>0</v>
      </c>
      <c r="V15" s="14" t="e">
        <f t="shared" si="25"/>
        <v>#DIV/0!</v>
      </c>
      <c r="W15" s="14"/>
      <c r="X15" s="14" t="str">
        <f t="shared" si="1"/>
        <v/>
      </c>
      <c r="Y15" s="49" t="b">
        <f>IF($G15="Arrived at Port",IF($E15&lt;&gt;"",IF($E15=20,IF($J15&lt;2,0,IF($J15&lt;=7,(($J15-2)*Schedule!$C$3*$D15),5*Schedule!$C$3*$D15))+IF(AND($J15&gt;7,$J15&lt;=15),($J15-7)*Schedule!$C$4*$D15,IF($J15&gt;15,8*Schedule!$C$4*$D15))+(IF($J15&gt;15,(($J15-15)*Schedule!$C$5*'Import - recap'!$D15),0))+IF($J15&lt;=5,(($J15-0)*Schedule!$C$6*'Import - recap'!$D15),5*Schedule!$C$6*'Import - recap'!$D15)+IF(AND($J15&gt;5,$J15&lt;=10),($J15-5)*Schedule!$C$7*'Import - recap'!$D15,IF($J15&gt;10,5*Schedule!$C$7*'Import - recap'!$D15)+IF(AND($J15&gt;10,$J15&lt;=15),($J15-10)*Schedule!$C$8*'Import - recap'!$D15,IF($J15&gt;15,5*Schedule!$C$8*'Import - recap'!$D15)+IF(AND($J15&gt;15,$J15&lt;=45),($J15-15)*Schedule!$C$9*'Import - recap'!$D15,IF($J15&gt;45,30*Schedule!$C$9*'Import - recap'!$D15)+(IF($J15&gt;45,(($J15-45)*Schedule!$C$9*'Import - recap'!$D15))))))+($J15*$D15*Schedule!$C$2),IF($J15&lt;2,0,IF($J15&lt;=7,(($J15-2)*Schedule!$D$3*$D15),5*Schedule!$D$3*$D15))+IF(AND($J15&gt;7,$J15&lt;=15),($J15-7)*Schedule!$D$4*$D15,IF($J15&gt;15,8*Schedule!$D$4*$D15))+(IF($J15&gt;15,(($J15-15)*Schedule!$D$5*'Import - recap'!$D15),0))+IF($J15&lt;=5,(($J15-0)*Schedule!$D$6*'Import - recap'!$D15),5*Schedule!$D$6*'Import - recap'!$D15)+IF(AND($J15&gt;5,$J15&lt;=10),($J15-5)*Schedule!$D$7*'Import - recap'!$D15,IF($J15&gt;10,5*Schedule!$D$7*'Import - recap'!$D15)+IF(AND($J15&gt;10,$J15&lt;=15),($J15-10)*Schedule!$D$8*'Import - recap'!$D15,IF($J15&gt;15,5*Schedule!$D$8*'Import - recap'!$D15)+IF(AND($J15&gt;15,$J15&lt;=45),($J15-15)*Schedule!$D$9*'Import - recap'!$D15,IF($J15&gt;45,30*Schedule!$D$9*'Import - recap'!$D15)+(IF($J15&gt;45,(($J15-45)*Schedule!$D$9*'Import - recap'!$D15))))))+($J15*$D15*Schedule!$D$2)),"erreur"),IF($G15="Paid, Not Yet Arrived at Factory",IF($E15&lt;&gt;"",IF($E15=20,IF($J15&lt;2,0,IF($J15&lt;=7,(($J15-2)*Schedule!$C$3*$D15),5*Schedule!$C$3*$D15))+IF(AND($J15&gt;7,$J15&lt;=15),($J15-7)*Schedule!$C$4*$D15,IF($J15&gt;15,8*Schedule!$C$4*$D15))+(IF($J15&gt;15,(($J15-15)*Schedule!$C$5*'Import - recap'!$D15),0))+IF($J15&lt;=5,(($J15-0)*Schedule!$C$6*'Import - recap'!$D15),5*Schedule!$C$6*'Import - recap'!$D15)+IF(AND($J15&gt;5,$J15&lt;=10),($J15-5)*Schedule!$C$7*'Import - recap'!$D15,IF($J15&gt;10,5*Schedule!$C$7*'Import - recap'!$D15)+IF(AND($J15&gt;10,$J15&lt;=15),($J15-10)*Schedule!$C$8*'Import - recap'!$D15,IF($J15&gt;15,5*Schedule!$C$8*'Import - recap'!$D15)+IF(AND($J15&gt;15,$J15&lt;=45),($J15-15)*Schedule!$C$9*'Import - recap'!$D15,IF($J15&gt;45,30*Schedule!$C$9*'Import - recap'!$D15)+(IF($J15&gt;45,(($J15-45)*Schedule!$C$9*'Import - recap'!$D15))))))+($J15*$D15*Schedule!$C$2),IF($J15&lt;2,0,IF($J15&lt;=7,(($J15-2)*Schedule!$D$3*$D15),5*Schedule!$D$3*$D15))+IF(AND($J15&gt;7,$J15&lt;=15),($J15-7)*Schedule!$D$4*$D15,IF($J15&gt;15,8*Schedule!$D$4*$D15))+(IF($J15&gt;15,(($J15-15)*Schedule!$D$5*'Import - recap'!$D15),0))+IF($J15&lt;=5,(($J15-0)*Schedule!$D$6*'Import - recap'!$D15),5*Schedule!$D$6*'Import - recap'!$D15)+IF(AND($J15&gt;5,$J15&lt;=10),($J15-5)*Schedule!$D$7*'Import - recap'!$D15,IF($J15&gt;10,5*Schedule!$D$7*'Import - recap'!$D15)+IF(AND($J15&gt;10,$J15&lt;=15),($J15-10)*Schedule!$D$8*'Import - recap'!$D15,IF($J15&gt;15,5*Schedule!$D$8*'Import - recap'!$D15)+IF(AND($J15&gt;15,$J15&lt;=45),($J15-15)*Schedule!$D$9*'Import - recap'!$D15,IF($J15&gt;45,30*Schedule!$D$9*'Import - recap'!$D15)+(IF($J15&gt;45,(($J15-45)*Schedule!$D$9*'Import - recap'!$D15))))))+($J15*$D15*Schedule!$D$2)),"erreur")))</f>
        <v>0</v>
      </c>
      <c r="Z15" s="41" t="b">
        <f>IF($G15="Arrived at Port",IF(B15="SK",IF($E15=20,IF(AND($J15&gt;12,$J15&lt;=21),($J15-12)*Schedule!$C$14*'Import - recap'!$D15,IF($J15&gt;21,9*Schedule!$C$14*'Import - recap'!$D15)+(IF($J15&gt;21,(($J15-21)*Schedule!$C$15*'Import - recap'!$D15)))),IF(AND($J15&gt;12,$J15&lt;=21),($J15-12)*Schedule!$D$14*'Import - recap'!$D15,IF($J15&gt;21,9*Schedule!$D$14*'Import - recap'!$D15)+(IF($J15&gt;21,(($J15-21)*Schedule!$D$15*'Import - recap'!$D15))))),IF(B15="Company 1",IF($E15=20,IF(AND($J15&gt;12,$J15&lt;=21),($J15-12)*Schedule!$C$16*'Import - recap'!$D15,IF($J15&gt;21,9*Schedule!$C$16*'Import - recap'!$D15)+(IF($J15&gt;21,(($J15-21)*Schedule!$C$17*'Import - recap'!$D15)))),IF(AND($J15&gt;12,$J15&lt;=21),($J15-12)*Schedule!$D$16*'Import - recap'!$D15,IF($J15&gt;21,9*Schedule!$D$16*'Import - recap'!$D15)+(IF($J15&gt;21,(($J15-21)*Schedule!$D$17*'Import - recap'!$D15))))),IF(B15="Company 2",IF($E15=20,IF(AND($J15&gt;12,$J15&lt;=21),($J15-12)*Schedule!$C$18*'Import - recap'!$D15,IF($J15&gt;21,9*Schedule!$C$18*'Import - recap'!$D15)+(IF($J15&gt;21,(($J15-21)*Schedule!$C$19*'Import - recap'!$D15)))),IF(AND($J15&gt;12,$J15&lt;=21),($J15-12)*Schedule!$D$18*'Import - recap'!$D15,IF($J15&gt;21,9*Schedule!$D$18*'Import - recap'!$D15)+(IF($J15&gt;21,(($J15-21)*Schedule!$D$19*'Import - recap'!$D15)))))))),IF($G15="Paid, Not Yet Arrived at Factory",IF(B15="SK",IF($E15=20,IF(AND($J15&gt;12,$J15&lt;=21),($J15-12)*Schedule!$C$14*'Import - recap'!$D15,IF($J15&gt;21,9*Schedule!$C$14*'Import - recap'!$D15)+(IF($J15&gt;21,(($J15-21)*Schedule!$C$15*'Import - recap'!$D15)))),IF(AND($J15&gt;12,$J15&lt;=21),($J15-12)*Schedule!$D$14*'Import - recap'!$D15,IF($J15&gt;21,9*Schedule!$D$14*'Import - recap'!$D15)+(IF($J15&gt;21,(($J15-21)*Schedule!$D$15*'Import - recap'!$D15))))),IF(B15="Company 1",IF($E15=20,IF(AND($J15&gt;12,$J15&lt;=21),($J15-12)*Schedule!$C$16*'Import - recap'!$D15,IF($J15&gt;21,9*Schedule!$C$16*'Import - recap'!$D15)+(IF($J15&gt;21,(($J15-21)*Schedule!$C$17*'Import - recap'!$D15)))),IF(AND($J15&gt;12,$J15&lt;=21),($J15-12)*Schedule!$D$16*'Import - recap'!$D15,IF($J15&gt;21,9*Schedule!$D$16*'Import - recap'!$D15)+(IF($J15&gt;21,(($J15-21)*Schedule!$D$17*'Import - recap'!$D15))))),IF(B15="Company 2",IF($E15=20,IF(AND($J15&gt;12,$J15&lt;=21),($J15-12)*Schedule!$C$18*'Import - recap'!$D15,IF($J15&gt;21,9*Schedule!$C$18*'Import - recap'!$D15)+(IF($J15&gt;21,(($J15-21)*Schedule!$C$19*'Import - recap'!$D15)))),IF(AND($J15&gt;12,$J15&lt;=21),($J15-12)*Schedule!$D$18*'Import - recap'!$D15,IF($J15&gt;21,9*Schedule!$D$18*'Import - recap'!$D15)+(IF($J15&gt;21,(($J15-21)*Schedule!$D$19*'Import - recap'!$D15))))))))))</f>
        <v>0</v>
      </c>
      <c r="AA15" s="14" t="str">
        <f t="shared" si="2"/>
        <v>0</v>
      </c>
      <c r="AB15" s="14" t="str">
        <f t="shared" si="22"/>
        <v/>
      </c>
      <c r="AC15" s="14" t="str">
        <f t="shared" si="3"/>
        <v/>
      </c>
      <c r="AD15" s="14" t="str">
        <f t="shared" si="4"/>
        <v/>
      </c>
      <c r="AE15" s="14" t="str">
        <f t="shared" si="5"/>
        <v/>
      </c>
      <c r="AF15" s="14" t="str">
        <f t="shared" si="6"/>
        <v/>
      </c>
      <c r="AG15" s="70" t="str">
        <f t="shared" si="26"/>
        <v/>
      </c>
      <c r="AH15" s="70" t="str">
        <f t="shared" si="27"/>
        <v/>
      </c>
      <c r="AI15" s="72" t="str">
        <f t="shared" si="9"/>
        <v/>
      </c>
      <c r="AJ15" s="34" t="str">
        <f t="shared" si="10"/>
        <v/>
      </c>
      <c r="AK15" s="34" t="str">
        <f t="shared" si="11"/>
        <v/>
      </c>
      <c r="AL15" s="54" t="str">
        <f t="shared" si="28"/>
        <v/>
      </c>
      <c r="AM15" s="49" t="b">
        <f>IF($G15="Arrived at Port",IF($E15&lt;&gt;"",IF($E15=20,IF($J15&lt;2,0,IF($J15&lt;=7,(($J15-2)*Schedule!$C$3*$D15),5*Schedule!$C$3*$D15))+IF(AND($J15&gt;7,$J15&lt;=15),($J15-7)*Schedule!$C$4*$D15,IF($J15&gt;15,8*Schedule!$C$4*$D15))+(IF($J15&gt;15,(($J15-15)*Schedule!$C$5*'Import - recap'!$D15),0))+IF($J15&lt;=5,(($J15-0)*Schedule!$C$6*'Import - recap'!$D15),5*Schedule!$C$6*'Import - recap'!$D15)+IF(AND($J15&gt;5,$J15&lt;=10),($J15-5)*Schedule!$C$7*'Import - recap'!$D15,IF($J15&gt;10,5*Schedule!$C$7*'Import - recap'!$D15)+IF(AND($J15&gt;10,$J15&lt;=15),($J15-10)*Schedule!$C$8*'Import - recap'!$D15,IF($J15&gt;15,5*Schedule!$C$8*'Import - recap'!$D15)+IF(AND($J15&gt;15,$J15&lt;=45),($J15-15)*Schedule!$C$9*'Import - recap'!$D15,IF($J15&gt;45,30*Schedule!$C$9*'Import - recap'!$D15)+(IF($J15&gt;45,(($J15-45)*Schedule!$C$9*'Import - recap'!$D15))))))+($J15*$D15*Schedule!$C$2),IF($J15&lt;2,0,IF($J15&lt;=7,(($J15-2)*Schedule!$D$3*$D15),5*Schedule!$D$3*$D15))+IF(AND($J15&gt;7,$J15&lt;=15),($J15-7)*Schedule!$D$4*$D15,IF($J15&gt;15,8*Schedule!$D$4*$D15))+(IF($J15&gt;15,(($J15-15)*Schedule!$D$5*'Import - recap'!$D15),0))+IF($J15&lt;=5,(($J15-0)*Schedule!$D$6*'Import - recap'!$D15),5*Schedule!$D$6*'Import - recap'!$D15)+IF(AND($J15&gt;5,$J15&lt;=10),($J15-5)*Schedule!$D$7*'Import - recap'!$D15,IF($J15&gt;10,5*Schedule!$D$7*'Import - recap'!$D15)+IF(AND($J15&gt;10,$J15&lt;=15),($J15-10)*Schedule!$D$8*'Import - recap'!$D15,IF($J15&gt;15,5*Schedule!$D$8*'Import - recap'!$D15)+IF(AND($J15&gt;15,$J15&lt;=45),($J15-15)*Schedule!$D$9*'Import - recap'!$D15,IF($J15&gt;45,30*Schedule!$D$9*'Import - recap'!$D15)+(IF($J15&gt;45,(($J15-45)*Schedule!$D$9*'Import - recap'!$D15))))))+($J15*$D15*Schedule!$D$2)),"erreur"),IF($G15="Paid, Not Yet Arrived at Factory",IF($E15&lt;&gt;"",IF($E15=20,IF($J15&lt;2,0,IF($J15&lt;=7,(($J15-2)*Schedule!$C$3*$D15),5*Schedule!$C$3*$D15))+IF(AND($J15&gt;7,$J15&lt;=15),($J15-7)*Schedule!$C$4*$D15,IF($J15&gt;15,8*Schedule!$C$4*$D15))+(IF($J15&gt;15,(($J15-15)*Schedule!$C$5*'Import - recap'!$D15),0))+IF($J15&lt;=5,(($J15-0)*Schedule!$C$6*'Import - recap'!$D15),5*Schedule!$C$6*'Import - recap'!$D15)+IF(AND($J15&gt;5,$J15&lt;=10),($J15-5)*Schedule!$C$7*'Import - recap'!$D15,IF($J15&gt;10,5*Schedule!$C$7*'Import - recap'!$D15)+IF(AND($J15&gt;10,$J15&lt;=15),($J15-10)*Schedule!$C$8*'Import - recap'!$D15,IF($J15&gt;15,5*Schedule!$C$8*'Import - recap'!$D15)+IF(AND($J15&gt;15,$J15&lt;=45),($J15-15)*Schedule!$C$9*'Import - recap'!$D15,IF($J15&gt;45,30*Schedule!$C$9*'Import - recap'!$D15)+(IF($J15&gt;45,(($J15-45)*Schedule!$C$9*'Import - recap'!$D15))))))+($J15*$D15*Schedule!$C$2),IF($J15&lt;2,0,IF($J15&lt;=7,(($J15-2)*Schedule!$D$3*$D15),5*Schedule!$D$3*$D15))+IF(AND($J15&gt;7,$J15&lt;=15),($J15-7)*Schedule!$D$4*$D15,IF($J15&gt;15,8*Schedule!$D$4*$D15))+(IF($J15&gt;15,(($J15-15)*Schedule!$D$5*'Import - recap'!$D15),0))+IF($J15&lt;=5,(($J15-0)*Schedule!$D$6*'Import - recap'!$D15),5*Schedule!$D$6*'Import - recap'!$D15)+IF(AND($J15&gt;5,$J15&lt;=10),($J15-5)*Schedule!$D$7*'Import - recap'!$D15,IF($J15&gt;10,5*Schedule!$D$7*'Import - recap'!$D15)+IF(AND($J15&gt;10,$J15&lt;=15),($J15-10)*Schedule!$D$8*'Import - recap'!$D15,IF($J15&gt;15,5*Schedule!$D$8*'Import - recap'!$D15)+IF(AND($J15&gt;15,$J15&lt;=45),($J15-15)*Schedule!$D$9*'Import - recap'!$D15,IF($J15&gt;45,30*Schedule!$D$9*'Import - recap'!$D15)+(IF($J15&gt;45,(($J15-45)*Schedule!$D$9*'Import - recap'!$D15))))))+($J15*$D15*Schedule!$D$2)),"erreur")))</f>
        <v>0</v>
      </c>
      <c r="AN15" s="14" t="str">
        <f t="shared" si="13"/>
        <v>0</v>
      </c>
      <c r="AO15" s="14"/>
      <c r="AP15" s="14" t="str">
        <f>IF(SUMIFS('Import Record Details'!$O:$O,'Import Record Details'!$F:$F,'Import - recap'!$AP$3,'Import Record Details'!$A:$A,'Import - recap'!$A15)=0,IF($G15="Arrived at Port",$X15*0.04%,IF($G15="arrivé a l'usine non payé",$X15*0.04%,IF($G15="Paid, Not Yet Arrived at Factory",$X15*0.04%,""))),SUMIFS('Import Record Details'!$O:$O,'Import Record Details'!$F:$F,'Import - recap'!$AP$3,'Import Record Details'!$A:$A,'Import - recap'!$A15))</f>
        <v/>
      </c>
      <c r="AQ15" s="14" t="str">
        <f>IF(SUMIFS('Import Record Details'!$O:$O,'Import Record Details'!$F:$F,'Import - recap'!$AQ$3,'Import Record Details'!$A:$A,'Import - recap'!$A15)=0,IF($G15="Arrived at Port",$D15*650,IF($G15="arrivé a l'usine non payé",$D15*650,IF($G15="Paid, Not Yet Arrived at Factory",$D15*650,""))),SUMIFS('Import Record Details'!$O:$O,'Import Record Details'!$F:$F,'Import - recap'!$AQ$3,'Import Record Details'!$A:$A,'Import - recap'!$A15))</f>
        <v/>
      </c>
      <c r="AR15" s="14" t="str">
        <f>IF(SUMIFS('Import Record Details'!$O:$O,'Import Record Details'!$F:$F,'Import - recap'!$AR$3,'Import Record Details'!$A:$A,'Import - recap'!$A15)=0,IF($G15="Arrived at Port",$X15*0.2%,IF($G15="arrivé a l'usine non payé",$X15*0.2%,IF($G15="Paid, Not Yet Arrived at Factory",$X15*0.2%,""))),SUMIFS('Import Record Details'!$O:$O,'Import Record Details'!$F:$F,'Import - recap'!$AR$3,'Import Record Details'!$A:$A,'Import - recap'!$A15))</f>
        <v/>
      </c>
      <c r="AS15" s="14" t="str">
        <f>IF(SUMIFS('Import Record Details'!$O:$O,'Import Record Details'!$F:$F,'Import - recap'!$AS$3,'Import Record Details'!$A:$A,'Import - recap'!$A15)=0,IF($G15="Arrived at Port",$X15*0.06%,IF($G15="arrivé a l'usine non payé",$X15*0.06%,IF($G15="Paid, Not Yet Arrived at Factory",$X15*0.06%,""))),SUMIFS('Import Record Details'!$O:$O,'Import Record Details'!$F:$F,'Import - recap'!$AS$3,'Import Record Details'!$A:$A,'Import - recap'!$A15))</f>
        <v/>
      </c>
      <c r="AT15" s="54"/>
      <c r="AU15" s="72" t="str">
        <f t="shared" si="14"/>
        <v/>
      </c>
      <c r="AV15" s="15">
        <f t="shared" si="29"/>
        <v>0</v>
      </c>
      <c r="AW15" s="15" t="str">
        <f t="shared" si="30"/>
        <v/>
      </c>
      <c r="AX15" s="76" t="b">
        <f t="shared" si="16"/>
        <v>0</v>
      </c>
      <c r="AY15" s="17">
        <f>SUMIFS('Import Record Details'!$O:$O,'Import Record Details'!$A:$A,'Import - recap'!$A15)</f>
        <v>0</v>
      </c>
      <c r="AZ15" s="16" t="b">
        <f>IF((+SUMIFS('Import Record Details'!$O:$O,'Import Record Details'!$A:$A,'Import - recap'!$A15,'Import Record Details'!$F:$F,'Import - recap'!$AZ$3)=0),IF($G15="cloturé",IF(B15="SK",IF($E15=20,IF(AND($J15&gt;12,$J15&lt;=21),($J15-12)*Schedule!$C$14*'Import - recap'!$D15,IF($J15&gt;21,9*Schedule!$C$14*'Import - recap'!$D15)+(IF($J15&gt;21,(($J15-21)*Schedule!$C$15*'Import - recap'!$D15)))),IF(AND($J15&gt;12,$J15&lt;=21),($J15-12)*Schedule!$D$14*'Import - recap'!$D15,IF($J15&gt;21,9*Schedule!$D$14*'Import - recap'!$D15)+(IF($J15&gt;21,(($J15-21)*Schedule!$D$15*'Import - recap'!$D15))))),IF(B15="Company 1",IF($E15=20,IF(AND($J15&gt;12,$J15&lt;=21),($J15-12)*Schedule!$C$16*'Import - recap'!$D15,IF($J15&gt;21,9*Schedule!$C$16*'Import - recap'!$D15)+(IF($J15&gt;21,(($J15-21)*Schedule!$C$17*'Import - recap'!$D15)))),IF(AND($J15&gt;12,$J15&lt;=21),($J15-12)*Schedule!$D$16*'Import - recap'!$D15,IF($J15&gt;21,9*Schedule!$D$16*'Import - recap'!$D15)+(IF($J15&gt;21,(($J15-21)*Schedule!$D$17*'Import - recap'!$D15))))),IF(B15="Company 2",IF($E15=20,IF(AND($J15&gt;12,$J15&lt;=21),($J15-12)*Schedule!$C$18*'Import - recap'!$D15,IF($J15&gt;21,9*Schedule!$C$18*'Import - recap'!$D15)+(IF($J15&gt;21,(($J15-21)*Schedule!$C$19*'Import - recap'!$D15)))),IF(AND($J15&gt;12,$J15&lt;=21),($J15-12)*Schedule!$D$18*'Import - recap'!$D15,IF($J15&gt;21,9*Schedule!$D$18*'Import - recap'!$D15)+(IF($J15&gt;21,(($J15-21)*Schedule!$D$19*'Import - recap'!$D15)))))))),IF($G15="arrivé a l'usine non payé",IF(B15="SK",IF($E15=20,IF(AND($J15&gt;12,$J15&lt;=21),($J15-12)*Schedule!$C$14*'Import - recap'!$D15,IF($J15&gt;21,9*Schedule!$C$14*'Import - recap'!$D15)+(IF($J15&gt;21,(($J15-21)*Schedule!$C$15*'Import - recap'!$D15)))),IF(AND($J15&gt;12,$J15&lt;=21),($J15-12)*Schedule!$D$14*'Import - recap'!$D15,IF($J15&gt;21,9*Schedule!$D$14*'Import - recap'!$D15)+(IF($J15&gt;21,(($J15-21)*Schedule!$D$15*'Import - recap'!$D15))))),IF(B15="Company 1",IF($E15=20,IF(AND($J15&gt;12,$J15&lt;=21),($J15-12)*Schedule!$C$16*'Import - recap'!$D15,IF($J15&gt;21,9*Schedule!$C$16*'Import - recap'!$D15)+(IF($J15&gt;21,(($J15-21)*Schedule!$C$17*'Import - recap'!$D15)))),IF(AND($J15&gt;12,$J15&lt;=21),($J15-12)*Schedule!$D$16*'Import - recap'!$D15,IF($J15&gt;21,9*Schedule!$D$16*'Import - recap'!$D15)+(IF($J15&gt;21,(($J15-21)*Schedule!$D$17*'Import - recap'!$D15))))),IF(B15="Company 2",IF($E15=20,IF(AND($J15&gt;12,$J15&lt;=21),($J15-12)*Schedule!$C$18*'Import - recap'!$D15,IF($J15&gt;21,9*Schedule!$C$18*'Import - recap'!$D15)+(IF($J15&gt;21,(($J15-21)*Schedule!$C$19*'Import - recap'!$D15)))),IF(AND($J15&gt;12,$J15&lt;=21),($J15-12)*Schedule!$D$18*'Import - recap'!$D15,IF($J15&gt;21,9*Schedule!$D$18*'Import - recap'!$D15)+(IF($J15&gt;21,(($J15-21)*Schedule!$D$19*'Import - recap'!$D15)))))))))),SUMIFS('Import Record Details'!$O:$O,'Import Record Details'!$A:$A,'Import - recap'!$A15,'Import Record Details'!$F:$F,'Import - recap'!$AZ$3))</f>
        <v>0</v>
      </c>
      <c r="BA15" s="17" t="str">
        <f t="shared" si="31"/>
        <v/>
      </c>
      <c r="BB15" s="17">
        <f t="shared" si="32"/>
        <v>0</v>
      </c>
      <c r="BC15" s="57" t="e">
        <f t="shared" si="33"/>
        <v>#VALUE!</v>
      </c>
    </row>
    <row r="16" spans="1:55" ht="25.5" customHeight="1" x14ac:dyDescent="0.25">
      <c r="A16" s="3"/>
      <c r="B16" s="3"/>
      <c r="C16" s="3"/>
      <c r="D16" s="3"/>
      <c r="E16" s="3"/>
      <c r="F16" s="40"/>
      <c r="G16" s="52"/>
      <c r="H16" s="20"/>
      <c r="I16" s="20"/>
      <c r="J16" s="31">
        <f t="shared" ca="1" si="24"/>
        <v>45980</v>
      </c>
      <c r="K16" s="31"/>
      <c r="L16" s="19"/>
      <c r="M16" s="10"/>
      <c r="N16" s="11"/>
      <c r="O16" s="20"/>
      <c r="P16" s="12"/>
      <c r="Q16" s="21"/>
      <c r="R16" s="13"/>
      <c r="S16" s="3"/>
      <c r="T16" s="77"/>
      <c r="U16" s="18">
        <f>+SUMIFS('Import Record Details'!$M:$M,'Import Record Details'!$A:$A,'Import - recap'!$A16)</f>
        <v>0</v>
      </c>
      <c r="V16" s="14" t="e">
        <f t="shared" si="25"/>
        <v>#DIV/0!</v>
      </c>
      <c r="W16" s="14"/>
      <c r="X16" s="14" t="str">
        <f t="shared" si="1"/>
        <v/>
      </c>
      <c r="Y16" s="49" t="b">
        <f>IF($G16="Arrived at Port",IF($E16&lt;&gt;"",IF($E16=20,IF($J16&lt;2,0,IF($J16&lt;=7,(($J16-2)*Schedule!$C$3*$D16),5*Schedule!$C$3*$D16))+IF(AND($J16&gt;7,$J16&lt;=15),($J16-7)*Schedule!$C$4*$D16,IF($J16&gt;15,8*Schedule!$C$4*$D16))+(IF($J16&gt;15,(($J16-15)*Schedule!$C$5*'Import - recap'!$D16),0))+IF($J16&lt;=5,(($J16-0)*Schedule!$C$6*'Import - recap'!$D16),5*Schedule!$C$6*'Import - recap'!$D16)+IF(AND($J16&gt;5,$J16&lt;=10),($J16-5)*Schedule!$C$7*'Import - recap'!$D16,IF($J16&gt;10,5*Schedule!$C$7*'Import - recap'!$D16)+IF(AND($J16&gt;10,$J16&lt;=15),($J16-10)*Schedule!$C$8*'Import - recap'!$D16,IF($J16&gt;15,5*Schedule!$C$8*'Import - recap'!$D16)+IF(AND($J16&gt;15,$J16&lt;=45),($J16-15)*Schedule!$C$9*'Import - recap'!$D16,IF($J16&gt;45,30*Schedule!$C$9*'Import - recap'!$D16)+(IF($J16&gt;45,(($J16-45)*Schedule!$C$9*'Import - recap'!$D16))))))+($J16*$D16*Schedule!$C$2),IF($J16&lt;2,0,IF($J16&lt;=7,(($J16-2)*Schedule!$D$3*$D16),5*Schedule!$D$3*$D16))+IF(AND($J16&gt;7,$J16&lt;=15),($J16-7)*Schedule!$D$4*$D16,IF($J16&gt;15,8*Schedule!$D$4*$D16))+(IF($J16&gt;15,(($J16-15)*Schedule!$D$5*'Import - recap'!$D16),0))+IF($J16&lt;=5,(($J16-0)*Schedule!$D$6*'Import - recap'!$D16),5*Schedule!$D$6*'Import - recap'!$D16)+IF(AND($J16&gt;5,$J16&lt;=10),($J16-5)*Schedule!$D$7*'Import - recap'!$D16,IF($J16&gt;10,5*Schedule!$D$7*'Import - recap'!$D16)+IF(AND($J16&gt;10,$J16&lt;=15),($J16-10)*Schedule!$D$8*'Import - recap'!$D16,IF($J16&gt;15,5*Schedule!$D$8*'Import - recap'!$D16)+IF(AND($J16&gt;15,$J16&lt;=45),($J16-15)*Schedule!$D$9*'Import - recap'!$D16,IF($J16&gt;45,30*Schedule!$D$9*'Import - recap'!$D16)+(IF($J16&gt;45,(($J16-45)*Schedule!$D$9*'Import - recap'!$D16))))))+($J16*$D16*Schedule!$D$2)),"erreur"),IF($G16="Paid, Not Yet Arrived at Factory",IF($E16&lt;&gt;"",IF($E16=20,IF($J16&lt;2,0,IF($J16&lt;=7,(($J16-2)*Schedule!$C$3*$D16),5*Schedule!$C$3*$D16))+IF(AND($J16&gt;7,$J16&lt;=15),($J16-7)*Schedule!$C$4*$D16,IF($J16&gt;15,8*Schedule!$C$4*$D16))+(IF($J16&gt;15,(($J16-15)*Schedule!$C$5*'Import - recap'!$D16),0))+IF($J16&lt;=5,(($J16-0)*Schedule!$C$6*'Import - recap'!$D16),5*Schedule!$C$6*'Import - recap'!$D16)+IF(AND($J16&gt;5,$J16&lt;=10),($J16-5)*Schedule!$C$7*'Import - recap'!$D16,IF($J16&gt;10,5*Schedule!$C$7*'Import - recap'!$D16)+IF(AND($J16&gt;10,$J16&lt;=15),($J16-10)*Schedule!$C$8*'Import - recap'!$D16,IF($J16&gt;15,5*Schedule!$C$8*'Import - recap'!$D16)+IF(AND($J16&gt;15,$J16&lt;=45),($J16-15)*Schedule!$C$9*'Import - recap'!$D16,IF($J16&gt;45,30*Schedule!$C$9*'Import - recap'!$D16)+(IF($J16&gt;45,(($J16-45)*Schedule!$C$9*'Import - recap'!$D16))))))+($J16*$D16*Schedule!$C$2),IF($J16&lt;2,0,IF($J16&lt;=7,(($J16-2)*Schedule!$D$3*$D16),5*Schedule!$D$3*$D16))+IF(AND($J16&gt;7,$J16&lt;=15),($J16-7)*Schedule!$D$4*$D16,IF($J16&gt;15,8*Schedule!$D$4*$D16))+(IF($J16&gt;15,(($J16-15)*Schedule!$D$5*'Import - recap'!$D16),0))+IF($J16&lt;=5,(($J16-0)*Schedule!$D$6*'Import - recap'!$D16),5*Schedule!$D$6*'Import - recap'!$D16)+IF(AND($J16&gt;5,$J16&lt;=10),($J16-5)*Schedule!$D$7*'Import - recap'!$D16,IF($J16&gt;10,5*Schedule!$D$7*'Import - recap'!$D16)+IF(AND($J16&gt;10,$J16&lt;=15),($J16-10)*Schedule!$D$8*'Import - recap'!$D16,IF($J16&gt;15,5*Schedule!$D$8*'Import - recap'!$D16)+IF(AND($J16&gt;15,$J16&lt;=45),($J16-15)*Schedule!$D$9*'Import - recap'!$D16,IF($J16&gt;45,30*Schedule!$D$9*'Import - recap'!$D16)+(IF($J16&gt;45,(($J16-45)*Schedule!$D$9*'Import - recap'!$D16))))))+($J16*$D16*Schedule!$D$2)),"erreur")))</f>
        <v>0</v>
      </c>
      <c r="Z16" s="41" t="b">
        <f>IF($G16="Arrived at Port",IF(B16="SK",IF($E16=20,IF(AND($J16&gt;12,$J16&lt;=21),($J16-12)*Schedule!$C$14*'Import - recap'!$D16,IF($J16&gt;21,9*Schedule!$C$14*'Import - recap'!$D16)+(IF($J16&gt;21,(($J16-21)*Schedule!$C$15*'Import - recap'!$D16)))),IF(AND($J16&gt;12,$J16&lt;=21),($J16-12)*Schedule!$D$14*'Import - recap'!$D16,IF($J16&gt;21,9*Schedule!$D$14*'Import - recap'!$D16)+(IF($J16&gt;21,(($J16-21)*Schedule!$D$15*'Import - recap'!$D16))))),IF(B16="Company 1",IF($E16=20,IF(AND($J16&gt;12,$J16&lt;=21),($J16-12)*Schedule!$C$16*'Import - recap'!$D16,IF($J16&gt;21,9*Schedule!$C$16*'Import - recap'!$D16)+(IF($J16&gt;21,(($J16-21)*Schedule!$C$17*'Import - recap'!$D16)))),IF(AND($J16&gt;12,$J16&lt;=21),($J16-12)*Schedule!$D$16*'Import - recap'!$D16,IF($J16&gt;21,9*Schedule!$D$16*'Import - recap'!$D16)+(IF($J16&gt;21,(($J16-21)*Schedule!$D$17*'Import - recap'!$D16))))),IF(B16="Company 2",IF($E16=20,IF(AND($J16&gt;12,$J16&lt;=21),($J16-12)*Schedule!$C$18*'Import - recap'!$D16,IF($J16&gt;21,9*Schedule!$C$18*'Import - recap'!$D16)+(IF($J16&gt;21,(($J16-21)*Schedule!$C$19*'Import - recap'!$D16)))),IF(AND($J16&gt;12,$J16&lt;=21),($J16-12)*Schedule!$D$18*'Import - recap'!$D16,IF($J16&gt;21,9*Schedule!$D$18*'Import - recap'!$D16)+(IF($J16&gt;21,(($J16-21)*Schedule!$D$19*'Import - recap'!$D16)))))))),IF($G16="Paid, Not Yet Arrived at Factory",IF(B16="SK",IF($E16=20,IF(AND($J16&gt;12,$J16&lt;=21),($J16-12)*Schedule!$C$14*'Import - recap'!$D16,IF($J16&gt;21,9*Schedule!$C$14*'Import - recap'!$D16)+(IF($J16&gt;21,(($J16-21)*Schedule!$C$15*'Import - recap'!$D16)))),IF(AND($J16&gt;12,$J16&lt;=21),($J16-12)*Schedule!$D$14*'Import - recap'!$D16,IF($J16&gt;21,9*Schedule!$D$14*'Import - recap'!$D16)+(IF($J16&gt;21,(($J16-21)*Schedule!$D$15*'Import - recap'!$D16))))),IF(B16="Company 1",IF($E16=20,IF(AND($J16&gt;12,$J16&lt;=21),($J16-12)*Schedule!$C$16*'Import - recap'!$D16,IF($J16&gt;21,9*Schedule!$C$16*'Import - recap'!$D16)+(IF($J16&gt;21,(($J16-21)*Schedule!$C$17*'Import - recap'!$D16)))),IF(AND($J16&gt;12,$J16&lt;=21),($J16-12)*Schedule!$D$16*'Import - recap'!$D16,IF($J16&gt;21,9*Schedule!$D$16*'Import - recap'!$D16)+(IF($J16&gt;21,(($J16-21)*Schedule!$D$17*'Import - recap'!$D16))))),IF(B16="Company 2",IF($E16=20,IF(AND($J16&gt;12,$J16&lt;=21),($J16-12)*Schedule!$C$18*'Import - recap'!$D16,IF($J16&gt;21,9*Schedule!$C$18*'Import - recap'!$D16)+(IF($J16&gt;21,(($J16-21)*Schedule!$C$19*'Import - recap'!$D16)))),IF(AND($J16&gt;12,$J16&lt;=21),($J16-12)*Schedule!$D$18*'Import - recap'!$D16,IF($J16&gt;21,9*Schedule!$D$18*'Import - recap'!$D16)+(IF($J16&gt;21,(($J16-21)*Schedule!$D$19*'Import - recap'!$D16))))))))))</f>
        <v>0</v>
      </c>
      <c r="AA16" s="14" t="str">
        <f t="shared" si="2"/>
        <v>0</v>
      </c>
      <c r="AB16" s="14" t="str">
        <f t="shared" si="22"/>
        <v/>
      </c>
      <c r="AC16" s="14" t="str">
        <f t="shared" si="3"/>
        <v/>
      </c>
      <c r="AD16" s="14" t="str">
        <f t="shared" si="4"/>
        <v/>
      </c>
      <c r="AE16" s="14" t="str">
        <f t="shared" si="5"/>
        <v/>
      </c>
      <c r="AF16" s="14" t="str">
        <f t="shared" si="6"/>
        <v/>
      </c>
      <c r="AG16" s="70" t="str">
        <f t="shared" si="26"/>
        <v/>
      </c>
      <c r="AH16" s="70" t="str">
        <f t="shared" si="27"/>
        <v/>
      </c>
      <c r="AI16" s="72" t="str">
        <f t="shared" si="9"/>
        <v/>
      </c>
      <c r="AJ16" s="34" t="str">
        <f t="shared" si="10"/>
        <v/>
      </c>
      <c r="AK16" s="34" t="str">
        <f t="shared" si="11"/>
        <v/>
      </c>
      <c r="AL16" s="54" t="str">
        <f t="shared" si="28"/>
        <v/>
      </c>
      <c r="AM16" s="49" t="b">
        <f>IF($G16="Arrived at Port",IF($E16&lt;&gt;"",IF($E16=20,IF($J16&lt;2,0,IF($J16&lt;=7,(($J16-2)*Schedule!$C$3*$D16),5*Schedule!$C$3*$D16))+IF(AND($J16&gt;7,$J16&lt;=15),($J16-7)*Schedule!$C$4*$D16,IF($J16&gt;15,8*Schedule!$C$4*$D16))+(IF($J16&gt;15,(($J16-15)*Schedule!$C$5*'Import - recap'!$D16),0))+IF($J16&lt;=5,(($J16-0)*Schedule!$C$6*'Import - recap'!$D16),5*Schedule!$C$6*'Import - recap'!$D16)+IF(AND($J16&gt;5,$J16&lt;=10),($J16-5)*Schedule!$C$7*'Import - recap'!$D16,IF($J16&gt;10,5*Schedule!$C$7*'Import - recap'!$D16)+IF(AND($J16&gt;10,$J16&lt;=15),($J16-10)*Schedule!$C$8*'Import - recap'!$D16,IF($J16&gt;15,5*Schedule!$C$8*'Import - recap'!$D16)+IF(AND($J16&gt;15,$J16&lt;=45),($J16-15)*Schedule!$C$9*'Import - recap'!$D16,IF($J16&gt;45,30*Schedule!$C$9*'Import - recap'!$D16)+(IF($J16&gt;45,(($J16-45)*Schedule!$C$9*'Import - recap'!$D16))))))+($J16*$D16*Schedule!$C$2),IF($J16&lt;2,0,IF($J16&lt;=7,(($J16-2)*Schedule!$D$3*$D16),5*Schedule!$D$3*$D16))+IF(AND($J16&gt;7,$J16&lt;=15),($J16-7)*Schedule!$D$4*$D16,IF($J16&gt;15,8*Schedule!$D$4*$D16))+(IF($J16&gt;15,(($J16-15)*Schedule!$D$5*'Import - recap'!$D16),0))+IF($J16&lt;=5,(($J16-0)*Schedule!$D$6*'Import - recap'!$D16),5*Schedule!$D$6*'Import - recap'!$D16)+IF(AND($J16&gt;5,$J16&lt;=10),($J16-5)*Schedule!$D$7*'Import - recap'!$D16,IF($J16&gt;10,5*Schedule!$D$7*'Import - recap'!$D16)+IF(AND($J16&gt;10,$J16&lt;=15),($J16-10)*Schedule!$D$8*'Import - recap'!$D16,IF($J16&gt;15,5*Schedule!$D$8*'Import - recap'!$D16)+IF(AND($J16&gt;15,$J16&lt;=45),($J16-15)*Schedule!$D$9*'Import - recap'!$D16,IF($J16&gt;45,30*Schedule!$D$9*'Import - recap'!$D16)+(IF($J16&gt;45,(($J16-45)*Schedule!$D$9*'Import - recap'!$D16))))))+($J16*$D16*Schedule!$D$2)),"erreur"),IF($G16="Paid, Not Yet Arrived at Factory",IF($E16&lt;&gt;"",IF($E16=20,IF($J16&lt;2,0,IF($J16&lt;=7,(($J16-2)*Schedule!$C$3*$D16),5*Schedule!$C$3*$D16))+IF(AND($J16&gt;7,$J16&lt;=15),($J16-7)*Schedule!$C$4*$D16,IF($J16&gt;15,8*Schedule!$C$4*$D16))+(IF($J16&gt;15,(($J16-15)*Schedule!$C$5*'Import - recap'!$D16),0))+IF($J16&lt;=5,(($J16-0)*Schedule!$C$6*'Import - recap'!$D16),5*Schedule!$C$6*'Import - recap'!$D16)+IF(AND($J16&gt;5,$J16&lt;=10),($J16-5)*Schedule!$C$7*'Import - recap'!$D16,IF($J16&gt;10,5*Schedule!$C$7*'Import - recap'!$D16)+IF(AND($J16&gt;10,$J16&lt;=15),($J16-10)*Schedule!$C$8*'Import - recap'!$D16,IF($J16&gt;15,5*Schedule!$C$8*'Import - recap'!$D16)+IF(AND($J16&gt;15,$J16&lt;=45),($J16-15)*Schedule!$C$9*'Import - recap'!$D16,IF($J16&gt;45,30*Schedule!$C$9*'Import - recap'!$D16)+(IF($J16&gt;45,(($J16-45)*Schedule!$C$9*'Import - recap'!$D16))))))+($J16*$D16*Schedule!$C$2),IF($J16&lt;2,0,IF($J16&lt;=7,(($J16-2)*Schedule!$D$3*$D16),5*Schedule!$D$3*$D16))+IF(AND($J16&gt;7,$J16&lt;=15),($J16-7)*Schedule!$D$4*$D16,IF($J16&gt;15,8*Schedule!$D$4*$D16))+(IF($J16&gt;15,(($J16-15)*Schedule!$D$5*'Import - recap'!$D16),0))+IF($J16&lt;=5,(($J16-0)*Schedule!$D$6*'Import - recap'!$D16),5*Schedule!$D$6*'Import - recap'!$D16)+IF(AND($J16&gt;5,$J16&lt;=10),($J16-5)*Schedule!$D$7*'Import - recap'!$D16,IF($J16&gt;10,5*Schedule!$D$7*'Import - recap'!$D16)+IF(AND($J16&gt;10,$J16&lt;=15),($J16-10)*Schedule!$D$8*'Import - recap'!$D16,IF($J16&gt;15,5*Schedule!$D$8*'Import - recap'!$D16)+IF(AND($J16&gt;15,$J16&lt;=45),($J16-15)*Schedule!$D$9*'Import - recap'!$D16,IF($J16&gt;45,30*Schedule!$D$9*'Import - recap'!$D16)+(IF($J16&gt;45,(($J16-45)*Schedule!$D$9*'Import - recap'!$D16))))))+($J16*$D16*Schedule!$D$2)),"erreur")))</f>
        <v>0</v>
      </c>
      <c r="AN16" s="14" t="str">
        <f t="shared" si="13"/>
        <v>0</v>
      </c>
      <c r="AO16" s="14"/>
      <c r="AP16" s="14" t="str">
        <f>IF(SUMIFS('Import Record Details'!$O:$O,'Import Record Details'!$F:$F,'Import - recap'!$AP$3,'Import Record Details'!$A:$A,'Import - recap'!$A16)=0,IF($G16="Arrived at Port",$X16*0.04%,IF($G16="arrivé a l'usine non payé",$X16*0.04%,IF($G16="Paid, Not Yet Arrived at Factory",$X16*0.04%,""))),SUMIFS('Import Record Details'!$O:$O,'Import Record Details'!$F:$F,'Import - recap'!$AP$3,'Import Record Details'!$A:$A,'Import - recap'!$A16))</f>
        <v/>
      </c>
      <c r="AQ16" s="14" t="str">
        <f>IF(SUMIFS('Import Record Details'!$O:$O,'Import Record Details'!$F:$F,'Import - recap'!$AQ$3,'Import Record Details'!$A:$A,'Import - recap'!$A16)=0,IF($G16="Arrived at Port",$D16*650,IF($G16="arrivé a l'usine non payé",$D16*650,IF($G16="Paid, Not Yet Arrived at Factory",$D16*650,""))),SUMIFS('Import Record Details'!$O:$O,'Import Record Details'!$F:$F,'Import - recap'!$AQ$3,'Import Record Details'!$A:$A,'Import - recap'!$A16))</f>
        <v/>
      </c>
      <c r="AR16" s="14" t="str">
        <f>IF(SUMIFS('Import Record Details'!$O:$O,'Import Record Details'!$F:$F,'Import - recap'!$AR$3,'Import Record Details'!$A:$A,'Import - recap'!$A16)=0,IF($G16="Arrived at Port",$X16*0.2%,IF($G16="arrivé a l'usine non payé",$X16*0.2%,IF($G16="Paid, Not Yet Arrived at Factory",$X16*0.2%,""))),SUMIFS('Import Record Details'!$O:$O,'Import Record Details'!$F:$F,'Import - recap'!$AR$3,'Import Record Details'!$A:$A,'Import - recap'!$A16))</f>
        <v/>
      </c>
      <c r="AS16" s="14" t="str">
        <f>IF(SUMIFS('Import Record Details'!$O:$O,'Import Record Details'!$F:$F,'Import - recap'!$AS$3,'Import Record Details'!$A:$A,'Import - recap'!$A16)=0,IF($G16="Arrived at Port",$X16*0.06%,IF($G16="arrivé a l'usine non payé",$X16*0.06%,IF($G16="Paid, Not Yet Arrived at Factory",$X16*0.06%,""))),SUMIFS('Import Record Details'!$O:$O,'Import Record Details'!$F:$F,'Import - recap'!$AS$3,'Import Record Details'!$A:$A,'Import - recap'!$A16))</f>
        <v/>
      </c>
      <c r="AT16" s="54"/>
      <c r="AU16" s="72" t="str">
        <f t="shared" si="14"/>
        <v/>
      </c>
      <c r="AV16" s="15">
        <f t="shared" si="29"/>
        <v>0</v>
      </c>
      <c r="AW16" s="15" t="str">
        <f t="shared" si="30"/>
        <v/>
      </c>
      <c r="AX16" s="76" t="b">
        <f t="shared" si="16"/>
        <v>0</v>
      </c>
      <c r="AY16" s="17">
        <f>SUMIFS('Import Record Details'!$O:$O,'Import Record Details'!$A:$A,'Import - recap'!$A16)</f>
        <v>0</v>
      </c>
      <c r="AZ16" s="16" t="b">
        <f>IF((+SUMIFS('Import Record Details'!$O:$O,'Import Record Details'!$A:$A,'Import - recap'!$A16,'Import Record Details'!$F:$F,'Import - recap'!$AZ$3)=0),IF($G16="cloturé",IF(B16="SK",IF($E16=20,IF(AND($J16&gt;12,$J16&lt;=21),($J16-12)*Schedule!$C$14*'Import - recap'!$D16,IF($J16&gt;21,9*Schedule!$C$14*'Import - recap'!$D16)+(IF($J16&gt;21,(($J16-21)*Schedule!$C$15*'Import - recap'!$D16)))),IF(AND($J16&gt;12,$J16&lt;=21),($J16-12)*Schedule!$D$14*'Import - recap'!$D16,IF($J16&gt;21,9*Schedule!$D$14*'Import - recap'!$D16)+(IF($J16&gt;21,(($J16-21)*Schedule!$D$15*'Import - recap'!$D16))))),IF(B16="Company 1",IF($E16=20,IF(AND($J16&gt;12,$J16&lt;=21),($J16-12)*Schedule!$C$16*'Import - recap'!$D16,IF($J16&gt;21,9*Schedule!$C$16*'Import - recap'!$D16)+(IF($J16&gt;21,(($J16-21)*Schedule!$C$17*'Import - recap'!$D16)))),IF(AND($J16&gt;12,$J16&lt;=21),($J16-12)*Schedule!$D$16*'Import - recap'!$D16,IF($J16&gt;21,9*Schedule!$D$16*'Import - recap'!$D16)+(IF($J16&gt;21,(($J16-21)*Schedule!$D$17*'Import - recap'!$D16))))),IF(B16="Company 2",IF($E16=20,IF(AND($J16&gt;12,$J16&lt;=21),($J16-12)*Schedule!$C$18*'Import - recap'!$D16,IF($J16&gt;21,9*Schedule!$C$18*'Import - recap'!$D16)+(IF($J16&gt;21,(($J16-21)*Schedule!$C$19*'Import - recap'!$D16)))),IF(AND($J16&gt;12,$J16&lt;=21),($J16-12)*Schedule!$D$18*'Import - recap'!$D16,IF($J16&gt;21,9*Schedule!$D$18*'Import - recap'!$D16)+(IF($J16&gt;21,(($J16-21)*Schedule!$D$19*'Import - recap'!$D16)))))))),IF($G16="arrivé a l'usine non payé",IF(B16="SK",IF($E16=20,IF(AND($J16&gt;12,$J16&lt;=21),($J16-12)*Schedule!$C$14*'Import - recap'!$D16,IF($J16&gt;21,9*Schedule!$C$14*'Import - recap'!$D16)+(IF($J16&gt;21,(($J16-21)*Schedule!$C$15*'Import - recap'!$D16)))),IF(AND($J16&gt;12,$J16&lt;=21),($J16-12)*Schedule!$D$14*'Import - recap'!$D16,IF($J16&gt;21,9*Schedule!$D$14*'Import - recap'!$D16)+(IF($J16&gt;21,(($J16-21)*Schedule!$D$15*'Import - recap'!$D16))))),IF(B16="Company 1",IF($E16=20,IF(AND($J16&gt;12,$J16&lt;=21),($J16-12)*Schedule!$C$16*'Import - recap'!$D16,IF($J16&gt;21,9*Schedule!$C$16*'Import - recap'!$D16)+(IF($J16&gt;21,(($J16-21)*Schedule!$C$17*'Import - recap'!$D16)))),IF(AND($J16&gt;12,$J16&lt;=21),($J16-12)*Schedule!$D$16*'Import - recap'!$D16,IF($J16&gt;21,9*Schedule!$D$16*'Import - recap'!$D16)+(IF($J16&gt;21,(($J16-21)*Schedule!$D$17*'Import - recap'!$D16))))),IF(B16="Company 2",IF($E16=20,IF(AND($J16&gt;12,$J16&lt;=21),($J16-12)*Schedule!$C$18*'Import - recap'!$D16,IF($J16&gt;21,9*Schedule!$C$18*'Import - recap'!$D16)+(IF($J16&gt;21,(($J16-21)*Schedule!$C$19*'Import - recap'!$D16)))),IF(AND($J16&gt;12,$J16&lt;=21),($J16-12)*Schedule!$D$18*'Import - recap'!$D16,IF($J16&gt;21,9*Schedule!$D$18*'Import - recap'!$D16)+(IF($J16&gt;21,(($J16-21)*Schedule!$D$19*'Import - recap'!$D16)))))))))),SUMIFS('Import Record Details'!$O:$O,'Import Record Details'!$A:$A,'Import - recap'!$A16,'Import Record Details'!$F:$F,'Import - recap'!$AZ$3))</f>
        <v>0</v>
      </c>
      <c r="BA16" s="17" t="str">
        <f t="shared" si="31"/>
        <v/>
      </c>
      <c r="BB16" s="17">
        <f t="shared" si="32"/>
        <v>0</v>
      </c>
      <c r="BC16" s="57" t="e">
        <f t="shared" si="33"/>
        <v>#VALUE!</v>
      </c>
    </row>
    <row r="17" spans="1:55" ht="25.5" customHeight="1" x14ac:dyDescent="0.25">
      <c r="A17" s="3"/>
      <c r="B17" s="3"/>
      <c r="C17" s="3"/>
      <c r="D17" s="3"/>
      <c r="E17" s="3"/>
      <c r="F17" s="40"/>
      <c r="G17" s="52"/>
      <c r="H17" s="20"/>
      <c r="I17" s="20"/>
      <c r="J17" s="31">
        <f t="shared" ca="1" si="24"/>
        <v>45980</v>
      </c>
      <c r="K17" s="31"/>
      <c r="L17" s="19"/>
      <c r="M17" s="10"/>
      <c r="N17" s="11"/>
      <c r="O17" s="20"/>
      <c r="P17" s="12"/>
      <c r="Q17" s="21"/>
      <c r="R17" s="13"/>
      <c r="S17" s="3"/>
      <c r="T17" s="77"/>
      <c r="U17" s="18">
        <f>+SUMIFS('Import Record Details'!$M:$M,'Import Record Details'!$A:$A,'Import - recap'!$A17)</f>
        <v>0</v>
      </c>
      <c r="V17" s="14" t="e">
        <f t="shared" si="25"/>
        <v>#DIV/0!</v>
      </c>
      <c r="W17" s="14"/>
      <c r="X17" s="14" t="str">
        <f t="shared" si="1"/>
        <v/>
      </c>
      <c r="Y17" s="49" t="b">
        <f>IF($G17="Arrived at Port",IF($E17&lt;&gt;"",IF($E17=20,IF($J17&lt;2,0,IF($J17&lt;=7,(($J17-2)*Schedule!$C$3*$D17),5*Schedule!$C$3*$D17))+IF(AND($J17&gt;7,$J17&lt;=15),($J17-7)*Schedule!$C$4*$D17,IF($J17&gt;15,8*Schedule!$C$4*$D17))+(IF($J17&gt;15,(($J17-15)*Schedule!$C$5*'Import - recap'!$D17),0))+IF($J17&lt;=5,(($J17-0)*Schedule!$C$6*'Import - recap'!$D17),5*Schedule!$C$6*'Import - recap'!$D17)+IF(AND($J17&gt;5,$J17&lt;=10),($J17-5)*Schedule!$C$7*'Import - recap'!$D17,IF($J17&gt;10,5*Schedule!$C$7*'Import - recap'!$D17)+IF(AND($J17&gt;10,$J17&lt;=15),($J17-10)*Schedule!$C$8*'Import - recap'!$D17,IF($J17&gt;15,5*Schedule!$C$8*'Import - recap'!$D17)+IF(AND($J17&gt;15,$J17&lt;=45),($J17-15)*Schedule!$C$9*'Import - recap'!$D17,IF($J17&gt;45,30*Schedule!$C$9*'Import - recap'!$D17)+(IF($J17&gt;45,(($J17-45)*Schedule!$C$9*'Import - recap'!$D17))))))+($J17*$D17*Schedule!$C$2),IF($J17&lt;2,0,IF($J17&lt;=7,(($J17-2)*Schedule!$D$3*$D17),5*Schedule!$D$3*$D17))+IF(AND($J17&gt;7,$J17&lt;=15),($J17-7)*Schedule!$D$4*$D17,IF($J17&gt;15,8*Schedule!$D$4*$D17))+(IF($J17&gt;15,(($J17-15)*Schedule!$D$5*'Import - recap'!$D17),0))+IF($J17&lt;=5,(($J17-0)*Schedule!$D$6*'Import - recap'!$D17),5*Schedule!$D$6*'Import - recap'!$D17)+IF(AND($J17&gt;5,$J17&lt;=10),($J17-5)*Schedule!$D$7*'Import - recap'!$D17,IF($J17&gt;10,5*Schedule!$D$7*'Import - recap'!$D17)+IF(AND($J17&gt;10,$J17&lt;=15),($J17-10)*Schedule!$D$8*'Import - recap'!$D17,IF($J17&gt;15,5*Schedule!$D$8*'Import - recap'!$D17)+IF(AND($J17&gt;15,$J17&lt;=45),($J17-15)*Schedule!$D$9*'Import - recap'!$D17,IF($J17&gt;45,30*Schedule!$D$9*'Import - recap'!$D17)+(IF($J17&gt;45,(($J17-45)*Schedule!$D$9*'Import - recap'!$D17))))))+($J17*$D17*Schedule!$D$2)),"erreur"),IF($G17="Paid, Not Yet Arrived at Factory",IF($E17&lt;&gt;"",IF($E17=20,IF($J17&lt;2,0,IF($J17&lt;=7,(($J17-2)*Schedule!$C$3*$D17),5*Schedule!$C$3*$D17))+IF(AND($J17&gt;7,$J17&lt;=15),($J17-7)*Schedule!$C$4*$D17,IF($J17&gt;15,8*Schedule!$C$4*$D17))+(IF($J17&gt;15,(($J17-15)*Schedule!$C$5*'Import - recap'!$D17),0))+IF($J17&lt;=5,(($J17-0)*Schedule!$C$6*'Import - recap'!$D17),5*Schedule!$C$6*'Import - recap'!$D17)+IF(AND($J17&gt;5,$J17&lt;=10),($J17-5)*Schedule!$C$7*'Import - recap'!$D17,IF($J17&gt;10,5*Schedule!$C$7*'Import - recap'!$D17)+IF(AND($J17&gt;10,$J17&lt;=15),($J17-10)*Schedule!$C$8*'Import - recap'!$D17,IF($J17&gt;15,5*Schedule!$C$8*'Import - recap'!$D17)+IF(AND($J17&gt;15,$J17&lt;=45),($J17-15)*Schedule!$C$9*'Import - recap'!$D17,IF($J17&gt;45,30*Schedule!$C$9*'Import - recap'!$D17)+(IF($J17&gt;45,(($J17-45)*Schedule!$C$9*'Import - recap'!$D17))))))+($J17*$D17*Schedule!$C$2),IF($J17&lt;2,0,IF($J17&lt;=7,(($J17-2)*Schedule!$D$3*$D17),5*Schedule!$D$3*$D17))+IF(AND($J17&gt;7,$J17&lt;=15),($J17-7)*Schedule!$D$4*$D17,IF($J17&gt;15,8*Schedule!$D$4*$D17))+(IF($J17&gt;15,(($J17-15)*Schedule!$D$5*'Import - recap'!$D17),0))+IF($J17&lt;=5,(($J17-0)*Schedule!$D$6*'Import - recap'!$D17),5*Schedule!$D$6*'Import - recap'!$D17)+IF(AND($J17&gt;5,$J17&lt;=10),($J17-5)*Schedule!$D$7*'Import - recap'!$D17,IF($J17&gt;10,5*Schedule!$D$7*'Import - recap'!$D17)+IF(AND($J17&gt;10,$J17&lt;=15),($J17-10)*Schedule!$D$8*'Import - recap'!$D17,IF($J17&gt;15,5*Schedule!$D$8*'Import - recap'!$D17)+IF(AND($J17&gt;15,$J17&lt;=45),($J17-15)*Schedule!$D$9*'Import - recap'!$D17,IF($J17&gt;45,30*Schedule!$D$9*'Import - recap'!$D17)+(IF($J17&gt;45,(($J17-45)*Schedule!$D$9*'Import - recap'!$D17))))))+($J17*$D17*Schedule!$D$2)),"erreur")))</f>
        <v>0</v>
      </c>
      <c r="Z17" s="41" t="b">
        <f>IF($G17="Arrived at Port",IF(B17="SK",IF($E17=20,IF(AND($J17&gt;12,$J17&lt;=21),($J17-12)*Schedule!$C$14*'Import - recap'!$D17,IF($J17&gt;21,9*Schedule!$C$14*'Import - recap'!$D17)+(IF($J17&gt;21,(($J17-21)*Schedule!$C$15*'Import - recap'!$D17)))),IF(AND($J17&gt;12,$J17&lt;=21),($J17-12)*Schedule!$D$14*'Import - recap'!$D17,IF($J17&gt;21,9*Schedule!$D$14*'Import - recap'!$D17)+(IF($J17&gt;21,(($J17-21)*Schedule!$D$15*'Import - recap'!$D17))))),IF(B17="Company 1",IF($E17=20,IF(AND($J17&gt;12,$J17&lt;=21),($J17-12)*Schedule!$C$16*'Import - recap'!$D17,IF($J17&gt;21,9*Schedule!$C$16*'Import - recap'!$D17)+(IF($J17&gt;21,(($J17-21)*Schedule!$C$17*'Import - recap'!$D17)))),IF(AND($J17&gt;12,$J17&lt;=21),($J17-12)*Schedule!$D$16*'Import - recap'!$D17,IF($J17&gt;21,9*Schedule!$D$16*'Import - recap'!$D17)+(IF($J17&gt;21,(($J17-21)*Schedule!$D$17*'Import - recap'!$D17))))),IF(B17="Company 2",IF($E17=20,IF(AND($J17&gt;12,$J17&lt;=21),($J17-12)*Schedule!$C$18*'Import - recap'!$D17,IF($J17&gt;21,9*Schedule!$C$18*'Import - recap'!$D17)+(IF($J17&gt;21,(($J17-21)*Schedule!$C$19*'Import - recap'!$D17)))),IF(AND($J17&gt;12,$J17&lt;=21),($J17-12)*Schedule!$D$18*'Import - recap'!$D17,IF($J17&gt;21,9*Schedule!$D$18*'Import - recap'!$D17)+(IF($J17&gt;21,(($J17-21)*Schedule!$D$19*'Import - recap'!$D17)))))))),IF($G17="Paid, Not Yet Arrived at Factory",IF(B17="SK",IF($E17=20,IF(AND($J17&gt;12,$J17&lt;=21),($J17-12)*Schedule!$C$14*'Import - recap'!$D17,IF($J17&gt;21,9*Schedule!$C$14*'Import - recap'!$D17)+(IF($J17&gt;21,(($J17-21)*Schedule!$C$15*'Import - recap'!$D17)))),IF(AND($J17&gt;12,$J17&lt;=21),($J17-12)*Schedule!$D$14*'Import - recap'!$D17,IF($J17&gt;21,9*Schedule!$D$14*'Import - recap'!$D17)+(IF($J17&gt;21,(($J17-21)*Schedule!$D$15*'Import - recap'!$D17))))),IF(B17="Company 1",IF($E17=20,IF(AND($J17&gt;12,$J17&lt;=21),($J17-12)*Schedule!$C$16*'Import - recap'!$D17,IF($J17&gt;21,9*Schedule!$C$16*'Import - recap'!$D17)+(IF($J17&gt;21,(($J17-21)*Schedule!$C$17*'Import - recap'!$D17)))),IF(AND($J17&gt;12,$J17&lt;=21),($J17-12)*Schedule!$D$16*'Import - recap'!$D17,IF($J17&gt;21,9*Schedule!$D$16*'Import - recap'!$D17)+(IF($J17&gt;21,(($J17-21)*Schedule!$D$17*'Import - recap'!$D17))))),IF(B17="Company 2",IF($E17=20,IF(AND($J17&gt;12,$J17&lt;=21),($J17-12)*Schedule!$C$18*'Import - recap'!$D17,IF($J17&gt;21,9*Schedule!$C$18*'Import - recap'!$D17)+(IF($J17&gt;21,(($J17-21)*Schedule!$C$19*'Import - recap'!$D17)))),IF(AND($J17&gt;12,$J17&lt;=21),($J17-12)*Schedule!$D$18*'Import - recap'!$D17,IF($J17&gt;21,9*Schedule!$D$18*'Import - recap'!$D17)+(IF($J17&gt;21,(($J17-21)*Schedule!$D$19*'Import - recap'!$D17))))))))))</f>
        <v>0</v>
      </c>
      <c r="AA17" s="14" t="str">
        <f t="shared" si="2"/>
        <v>0</v>
      </c>
      <c r="AB17" s="14" t="str">
        <f t="shared" si="22"/>
        <v/>
      </c>
      <c r="AC17" s="14" t="str">
        <f t="shared" si="3"/>
        <v/>
      </c>
      <c r="AD17" s="14" t="str">
        <f t="shared" si="4"/>
        <v/>
      </c>
      <c r="AE17" s="14" t="str">
        <f t="shared" si="5"/>
        <v/>
      </c>
      <c r="AF17" s="14" t="str">
        <f t="shared" si="6"/>
        <v/>
      </c>
      <c r="AG17" s="70" t="str">
        <f t="shared" si="26"/>
        <v/>
      </c>
      <c r="AH17" s="70" t="str">
        <f t="shared" si="27"/>
        <v/>
      </c>
      <c r="AI17" s="72" t="str">
        <f t="shared" si="9"/>
        <v/>
      </c>
      <c r="AJ17" s="34" t="str">
        <f t="shared" si="10"/>
        <v/>
      </c>
      <c r="AK17" s="34" t="str">
        <f t="shared" si="11"/>
        <v/>
      </c>
      <c r="AL17" s="54" t="str">
        <f t="shared" si="28"/>
        <v/>
      </c>
      <c r="AM17" s="49" t="b">
        <f>IF($G17="Arrived at Port",IF($E17&lt;&gt;"",IF($E17=20,IF($J17&lt;2,0,IF($J17&lt;=7,(($J17-2)*Schedule!$C$3*$D17),5*Schedule!$C$3*$D17))+IF(AND($J17&gt;7,$J17&lt;=15),($J17-7)*Schedule!$C$4*$D17,IF($J17&gt;15,8*Schedule!$C$4*$D17))+(IF($J17&gt;15,(($J17-15)*Schedule!$C$5*'Import - recap'!$D17),0))+IF($J17&lt;=5,(($J17-0)*Schedule!$C$6*'Import - recap'!$D17),5*Schedule!$C$6*'Import - recap'!$D17)+IF(AND($J17&gt;5,$J17&lt;=10),($J17-5)*Schedule!$C$7*'Import - recap'!$D17,IF($J17&gt;10,5*Schedule!$C$7*'Import - recap'!$D17)+IF(AND($J17&gt;10,$J17&lt;=15),($J17-10)*Schedule!$C$8*'Import - recap'!$D17,IF($J17&gt;15,5*Schedule!$C$8*'Import - recap'!$D17)+IF(AND($J17&gt;15,$J17&lt;=45),($J17-15)*Schedule!$C$9*'Import - recap'!$D17,IF($J17&gt;45,30*Schedule!$C$9*'Import - recap'!$D17)+(IF($J17&gt;45,(($J17-45)*Schedule!$C$9*'Import - recap'!$D17))))))+($J17*$D17*Schedule!$C$2),IF($J17&lt;2,0,IF($J17&lt;=7,(($J17-2)*Schedule!$D$3*$D17),5*Schedule!$D$3*$D17))+IF(AND($J17&gt;7,$J17&lt;=15),($J17-7)*Schedule!$D$4*$D17,IF($J17&gt;15,8*Schedule!$D$4*$D17))+(IF($J17&gt;15,(($J17-15)*Schedule!$D$5*'Import - recap'!$D17),0))+IF($J17&lt;=5,(($J17-0)*Schedule!$D$6*'Import - recap'!$D17),5*Schedule!$D$6*'Import - recap'!$D17)+IF(AND($J17&gt;5,$J17&lt;=10),($J17-5)*Schedule!$D$7*'Import - recap'!$D17,IF($J17&gt;10,5*Schedule!$D$7*'Import - recap'!$D17)+IF(AND($J17&gt;10,$J17&lt;=15),($J17-10)*Schedule!$D$8*'Import - recap'!$D17,IF($J17&gt;15,5*Schedule!$D$8*'Import - recap'!$D17)+IF(AND($J17&gt;15,$J17&lt;=45),($J17-15)*Schedule!$D$9*'Import - recap'!$D17,IF($J17&gt;45,30*Schedule!$D$9*'Import - recap'!$D17)+(IF($J17&gt;45,(($J17-45)*Schedule!$D$9*'Import - recap'!$D17))))))+($J17*$D17*Schedule!$D$2)),"erreur"),IF($G17="Paid, Not Yet Arrived at Factory",IF($E17&lt;&gt;"",IF($E17=20,IF($J17&lt;2,0,IF($J17&lt;=7,(($J17-2)*Schedule!$C$3*$D17),5*Schedule!$C$3*$D17))+IF(AND($J17&gt;7,$J17&lt;=15),($J17-7)*Schedule!$C$4*$D17,IF($J17&gt;15,8*Schedule!$C$4*$D17))+(IF($J17&gt;15,(($J17-15)*Schedule!$C$5*'Import - recap'!$D17),0))+IF($J17&lt;=5,(($J17-0)*Schedule!$C$6*'Import - recap'!$D17),5*Schedule!$C$6*'Import - recap'!$D17)+IF(AND($J17&gt;5,$J17&lt;=10),($J17-5)*Schedule!$C$7*'Import - recap'!$D17,IF($J17&gt;10,5*Schedule!$C$7*'Import - recap'!$D17)+IF(AND($J17&gt;10,$J17&lt;=15),($J17-10)*Schedule!$C$8*'Import - recap'!$D17,IF($J17&gt;15,5*Schedule!$C$8*'Import - recap'!$D17)+IF(AND($J17&gt;15,$J17&lt;=45),($J17-15)*Schedule!$C$9*'Import - recap'!$D17,IF($J17&gt;45,30*Schedule!$C$9*'Import - recap'!$D17)+(IF($J17&gt;45,(($J17-45)*Schedule!$C$9*'Import - recap'!$D17))))))+($J17*$D17*Schedule!$C$2),IF($J17&lt;2,0,IF($J17&lt;=7,(($J17-2)*Schedule!$D$3*$D17),5*Schedule!$D$3*$D17))+IF(AND($J17&gt;7,$J17&lt;=15),($J17-7)*Schedule!$D$4*$D17,IF($J17&gt;15,8*Schedule!$D$4*$D17))+(IF($J17&gt;15,(($J17-15)*Schedule!$D$5*'Import - recap'!$D17),0))+IF($J17&lt;=5,(($J17-0)*Schedule!$D$6*'Import - recap'!$D17),5*Schedule!$D$6*'Import - recap'!$D17)+IF(AND($J17&gt;5,$J17&lt;=10),($J17-5)*Schedule!$D$7*'Import - recap'!$D17,IF($J17&gt;10,5*Schedule!$D$7*'Import - recap'!$D17)+IF(AND($J17&gt;10,$J17&lt;=15),($J17-10)*Schedule!$D$8*'Import - recap'!$D17,IF($J17&gt;15,5*Schedule!$D$8*'Import - recap'!$D17)+IF(AND($J17&gt;15,$J17&lt;=45),($J17-15)*Schedule!$D$9*'Import - recap'!$D17,IF($J17&gt;45,30*Schedule!$D$9*'Import - recap'!$D17)+(IF($J17&gt;45,(($J17-45)*Schedule!$D$9*'Import - recap'!$D17))))))+($J17*$D17*Schedule!$D$2)),"erreur")))</f>
        <v>0</v>
      </c>
      <c r="AN17" s="14" t="str">
        <f t="shared" si="13"/>
        <v>0</v>
      </c>
      <c r="AO17" s="14"/>
      <c r="AP17" s="14" t="str">
        <f>IF(SUMIFS('Import Record Details'!$O:$O,'Import Record Details'!$F:$F,'Import - recap'!$AP$3,'Import Record Details'!$A:$A,'Import - recap'!$A17)=0,IF($G17="Arrived at Port",$X17*0.04%,IF($G17="arrivé a l'usine non payé",$X17*0.04%,IF($G17="Paid, Not Yet Arrived at Factory",$X17*0.04%,""))),SUMIFS('Import Record Details'!$O:$O,'Import Record Details'!$F:$F,'Import - recap'!$AP$3,'Import Record Details'!$A:$A,'Import - recap'!$A17))</f>
        <v/>
      </c>
      <c r="AQ17" s="14" t="str">
        <f>IF(SUMIFS('Import Record Details'!$O:$O,'Import Record Details'!$F:$F,'Import - recap'!$AQ$3,'Import Record Details'!$A:$A,'Import - recap'!$A17)=0,IF($G17="Arrived at Port",$D17*650,IF($G17="arrivé a l'usine non payé",$D17*650,IF($G17="Paid, Not Yet Arrived at Factory",$D17*650,""))),SUMIFS('Import Record Details'!$O:$O,'Import Record Details'!$F:$F,'Import - recap'!$AQ$3,'Import Record Details'!$A:$A,'Import - recap'!$A17))</f>
        <v/>
      </c>
      <c r="AR17" s="14" t="str">
        <f>IF(SUMIFS('Import Record Details'!$O:$O,'Import Record Details'!$F:$F,'Import - recap'!$AR$3,'Import Record Details'!$A:$A,'Import - recap'!$A17)=0,IF($G17="Arrived at Port",$X17*0.2%,IF($G17="arrivé a l'usine non payé",$X17*0.2%,IF($G17="Paid, Not Yet Arrived at Factory",$X17*0.2%,""))),SUMIFS('Import Record Details'!$O:$O,'Import Record Details'!$F:$F,'Import - recap'!$AR$3,'Import Record Details'!$A:$A,'Import - recap'!$A17))</f>
        <v/>
      </c>
      <c r="AS17" s="14" t="str">
        <f>IF(SUMIFS('Import Record Details'!$O:$O,'Import Record Details'!$F:$F,'Import - recap'!$AS$3,'Import Record Details'!$A:$A,'Import - recap'!$A17)=0,IF($G17="Arrived at Port",$X17*0.06%,IF($G17="arrivé a l'usine non payé",$X17*0.06%,IF($G17="Paid, Not Yet Arrived at Factory",$X17*0.06%,""))),SUMIFS('Import Record Details'!$O:$O,'Import Record Details'!$F:$F,'Import - recap'!$AS$3,'Import Record Details'!$A:$A,'Import - recap'!$A17))</f>
        <v/>
      </c>
      <c r="AT17" s="54"/>
      <c r="AU17" s="72" t="str">
        <f t="shared" si="14"/>
        <v/>
      </c>
      <c r="AV17" s="15">
        <f t="shared" si="29"/>
        <v>0</v>
      </c>
      <c r="AW17" s="15" t="str">
        <f t="shared" si="30"/>
        <v/>
      </c>
      <c r="AX17" s="76" t="b">
        <f t="shared" si="16"/>
        <v>0</v>
      </c>
      <c r="AY17" s="17">
        <f>SUMIFS('Import Record Details'!$O:$O,'Import Record Details'!$A:$A,'Import - recap'!$A17)</f>
        <v>0</v>
      </c>
      <c r="AZ17" s="16" t="b">
        <f>IF((+SUMIFS('Import Record Details'!$O:$O,'Import Record Details'!$A:$A,'Import - recap'!$A17,'Import Record Details'!$F:$F,'Import - recap'!$AZ$3)=0),IF($G17="cloturé",IF(B17="SK",IF($E17=20,IF(AND($J17&gt;12,$J17&lt;=21),($J17-12)*Schedule!$C$14*'Import - recap'!$D17,IF($J17&gt;21,9*Schedule!$C$14*'Import - recap'!$D17)+(IF($J17&gt;21,(($J17-21)*Schedule!$C$15*'Import - recap'!$D17)))),IF(AND($J17&gt;12,$J17&lt;=21),($J17-12)*Schedule!$D$14*'Import - recap'!$D17,IF($J17&gt;21,9*Schedule!$D$14*'Import - recap'!$D17)+(IF($J17&gt;21,(($J17-21)*Schedule!$D$15*'Import - recap'!$D17))))),IF(B17="Company 1",IF($E17=20,IF(AND($J17&gt;12,$J17&lt;=21),($J17-12)*Schedule!$C$16*'Import - recap'!$D17,IF($J17&gt;21,9*Schedule!$C$16*'Import - recap'!$D17)+(IF($J17&gt;21,(($J17-21)*Schedule!$C$17*'Import - recap'!$D17)))),IF(AND($J17&gt;12,$J17&lt;=21),($J17-12)*Schedule!$D$16*'Import - recap'!$D17,IF($J17&gt;21,9*Schedule!$D$16*'Import - recap'!$D17)+(IF($J17&gt;21,(($J17-21)*Schedule!$D$17*'Import - recap'!$D17))))),IF(B17="Company 2",IF($E17=20,IF(AND($J17&gt;12,$J17&lt;=21),($J17-12)*Schedule!$C$18*'Import - recap'!$D17,IF($J17&gt;21,9*Schedule!$C$18*'Import - recap'!$D17)+(IF($J17&gt;21,(($J17-21)*Schedule!$C$19*'Import - recap'!$D17)))),IF(AND($J17&gt;12,$J17&lt;=21),($J17-12)*Schedule!$D$18*'Import - recap'!$D17,IF($J17&gt;21,9*Schedule!$D$18*'Import - recap'!$D17)+(IF($J17&gt;21,(($J17-21)*Schedule!$D$19*'Import - recap'!$D17)))))))),IF($G17="arrivé a l'usine non payé",IF(B17="SK",IF($E17=20,IF(AND($J17&gt;12,$J17&lt;=21),($J17-12)*Schedule!$C$14*'Import - recap'!$D17,IF($J17&gt;21,9*Schedule!$C$14*'Import - recap'!$D17)+(IF($J17&gt;21,(($J17-21)*Schedule!$C$15*'Import - recap'!$D17)))),IF(AND($J17&gt;12,$J17&lt;=21),($J17-12)*Schedule!$D$14*'Import - recap'!$D17,IF($J17&gt;21,9*Schedule!$D$14*'Import - recap'!$D17)+(IF($J17&gt;21,(($J17-21)*Schedule!$D$15*'Import - recap'!$D17))))),IF(B17="Company 1",IF($E17=20,IF(AND($J17&gt;12,$J17&lt;=21),($J17-12)*Schedule!$C$16*'Import - recap'!$D17,IF($J17&gt;21,9*Schedule!$C$16*'Import - recap'!$D17)+(IF($J17&gt;21,(($J17-21)*Schedule!$C$17*'Import - recap'!$D17)))),IF(AND($J17&gt;12,$J17&lt;=21),($J17-12)*Schedule!$D$16*'Import - recap'!$D17,IF($J17&gt;21,9*Schedule!$D$16*'Import - recap'!$D17)+(IF($J17&gt;21,(($J17-21)*Schedule!$D$17*'Import - recap'!$D17))))),IF(B17="Company 2",IF($E17=20,IF(AND($J17&gt;12,$J17&lt;=21),($J17-12)*Schedule!$C$18*'Import - recap'!$D17,IF($J17&gt;21,9*Schedule!$C$18*'Import - recap'!$D17)+(IF($J17&gt;21,(($J17-21)*Schedule!$C$19*'Import - recap'!$D17)))),IF(AND($J17&gt;12,$J17&lt;=21),($J17-12)*Schedule!$D$18*'Import - recap'!$D17,IF($J17&gt;21,9*Schedule!$D$18*'Import - recap'!$D17)+(IF($J17&gt;21,(($J17-21)*Schedule!$D$19*'Import - recap'!$D17)))))))))),SUMIFS('Import Record Details'!$O:$O,'Import Record Details'!$A:$A,'Import - recap'!$A17,'Import Record Details'!$F:$F,'Import - recap'!$AZ$3))</f>
        <v>0</v>
      </c>
      <c r="BA17" s="17" t="str">
        <f t="shared" si="31"/>
        <v/>
      </c>
      <c r="BB17" s="17">
        <f t="shared" si="32"/>
        <v>0</v>
      </c>
      <c r="BC17" s="57" t="e">
        <f t="shared" si="33"/>
        <v>#VALUE!</v>
      </c>
    </row>
  </sheetData>
  <autoFilter ref="A3:BC5"/>
  <mergeCells count="4">
    <mergeCell ref="AV2:BA2"/>
    <mergeCell ref="X2:AL2"/>
    <mergeCell ref="G2:O2"/>
    <mergeCell ref="AM2:AU2"/>
  </mergeCells>
  <conditionalFormatting sqref="C4:C17">
    <cfRule type="expression" dxfId="6" priority="29">
      <formula>AND($BH4="Recu à L'usine Payement non Encore Echu")</formula>
    </cfRule>
    <cfRule type="expression" dxfId="5" priority="30">
      <formula>AND($U4="ND")</formula>
    </cfRule>
    <cfRule type="expression" dxfId="4" priority="31">
      <formula>AND($BH4="En Route")</formula>
    </cfRule>
    <cfRule type="expression" dxfId="3" priority="32">
      <formula>AND($BH4="Arrivé au Port")</formula>
    </cfRule>
    <cfRule type="expression" dxfId="2" priority="33">
      <formula>AND($BH4="Cloturé")</formula>
    </cfRule>
    <cfRule type="expression" dxfId="1" priority="34">
      <formula>AND($BH4="Recu à L'usine non encore Payé")</formula>
    </cfRule>
    <cfRule type="expression" dxfId="0" priority="35">
      <formula>AND($BH4="Payé non Encore Arrivé à L'Usine")</formula>
    </cfRule>
  </conditionalFormatting>
  <dataValidations disablePrompts="1" count="1">
    <dataValidation type="list" allowBlank="1" showInputMessage="1" showErrorMessage="1" sqref="G4:G17">
      <formula1>"en route,cloturé,arrivé au port,arrivé a l'usine non payé,payé non encore arrivé a l'usine"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9"/>
  <sheetViews>
    <sheetView topLeftCell="A4" workbookViewId="0">
      <selection activeCell="C11" sqref="C11"/>
    </sheetView>
  </sheetViews>
  <sheetFormatPr baseColWidth="10" defaultRowHeight="15" x14ac:dyDescent="0.25"/>
  <cols>
    <col min="1" max="1" width="27" style="22" customWidth="1"/>
    <col min="2" max="2" width="19.28515625" style="22" customWidth="1"/>
    <col min="3" max="16384" width="11.42578125" style="22"/>
  </cols>
  <sheetData>
    <row r="1" spans="1:5" ht="23.25" customHeight="1" x14ac:dyDescent="0.25">
      <c r="A1" s="37" t="s">
        <v>102</v>
      </c>
      <c r="B1" s="37" t="s">
        <v>103</v>
      </c>
      <c r="C1" s="36">
        <v>20</v>
      </c>
      <c r="D1" s="36">
        <v>40</v>
      </c>
    </row>
    <row r="2" spans="1:5" ht="23.25" customHeight="1" x14ac:dyDescent="0.25">
      <c r="A2" s="38" t="s">
        <v>99</v>
      </c>
      <c r="B2" s="43" t="s">
        <v>3</v>
      </c>
      <c r="C2" s="44">
        <v>4</v>
      </c>
      <c r="D2" s="44">
        <v>8</v>
      </c>
    </row>
    <row r="3" spans="1:5" ht="23.25" customHeight="1" x14ac:dyDescent="0.25">
      <c r="A3" s="38" t="s">
        <v>100</v>
      </c>
      <c r="B3" s="46" t="s">
        <v>4</v>
      </c>
      <c r="C3" s="44">
        <v>1</v>
      </c>
      <c r="D3" s="44">
        <v>1.5</v>
      </c>
    </row>
    <row r="4" spans="1:5" ht="23.25" customHeight="1" x14ac:dyDescent="0.25">
      <c r="A4" s="38" t="s">
        <v>100</v>
      </c>
      <c r="B4" s="43" t="s">
        <v>5</v>
      </c>
      <c r="C4" s="44">
        <v>4.8</v>
      </c>
      <c r="D4" s="44">
        <v>6</v>
      </c>
    </row>
    <row r="5" spans="1:5" ht="23.25" customHeight="1" x14ac:dyDescent="0.25">
      <c r="A5" s="38" t="s">
        <v>100</v>
      </c>
      <c r="B5" s="43" t="s">
        <v>104</v>
      </c>
      <c r="C5" s="44">
        <v>12.5</v>
      </c>
      <c r="D5" s="44">
        <v>16</v>
      </c>
    </row>
    <row r="6" spans="1:5" ht="23.25" customHeight="1" x14ac:dyDescent="0.25">
      <c r="A6" s="38" t="s">
        <v>101</v>
      </c>
      <c r="B6" s="43" t="s">
        <v>6</v>
      </c>
      <c r="C6" s="44">
        <v>2</v>
      </c>
      <c r="D6" s="44">
        <v>4</v>
      </c>
    </row>
    <row r="7" spans="1:5" ht="23.25" customHeight="1" x14ac:dyDescent="0.25">
      <c r="A7" s="38" t="s">
        <v>101</v>
      </c>
      <c r="B7" s="43" t="s">
        <v>7</v>
      </c>
      <c r="C7" s="44">
        <v>5</v>
      </c>
      <c r="D7" s="44">
        <v>10</v>
      </c>
    </row>
    <row r="8" spans="1:5" ht="23.25" customHeight="1" x14ac:dyDescent="0.25">
      <c r="A8" s="38" t="s">
        <v>101</v>
      </c>
      <c r="B8" s="43" t="s">
        <v>8</v>
      </c>
      <c r="C8" s="44">
        <v>7</v>
      </c>
      <c r="D8" s="44">
        <v>14</v>
      </c>
    </row>
    <row r="9" spans="1:5" ht="23.25" customHeight="1" x14ac:dyDescent="0.25">
      <c r="A9" s="38" t="s">
        <v>101</v>
      </c>
      <c r="B9" s="43" t="s">
        <v>9</v>
      </c>
      <c r="C9" s="44">
        <v>12</v>
      </c>
      <c r="D9" s="44">
        <v>24</v>
      </c>
    </row>
    <row r="10" spans="1:5" ht="23.25" customHeight="1" x14ac:dyDescent="0.25">
      <c r="A10" s="38" t="s">
        <v>101</v>
      </c>
      <c r="B10" s="43" t="s">
        <v>105</v>
      </c>
      <c r="C10" s="44">
        <v>12</v>
      </c>
      <c r="D10" s="44">
        <v>24</v>
      </c>
    </row>
    <row r="13" spans="1:5" x14ac:dyDescent="0.25">
      <c r="A13" s="37" t="s">
        <v>89</v>
      </c>
      <c r="B13" s="37" t="s">
        <v>106</v>
      </c>
      <c r="C13" s="36">
        <v>20</v>
      </c>
      <c r="D13" s="36">
        <v>40</v>
      </c>
      <c r="E13" s="36">
        <v>45</v>
      </c>
    </row>
    <row r="14" spans="1:5" ht="15.75" x14ac:dyDescent="0.25">
      <c r="A14" s="35" t="s">
        <v>87</v>
      </c>
      <c r="B14" s="47" t="s">
        <v>10</v>
      </c>
      <c r="C14" s="4">
        <v>15</v>
      </c>
      <c r="D14" s="4">
        <v>20</v>
      </c>
      <c r="E14" s="4">
        <v>25</v>
      </c>
    </row>
    <row r="15" spans="1:5" ht="15.75" x14ac:dyDescent="0.25">
      <c r="A15" s="35" t="s">
        <v>87</v>
      </c>
      <c r="B15" s="47" t="s">
        <v>11</v>
      </c>
      <c r="C15" s="4">
        <v>10</v>
      </c>
      <c r="D15" s="4">
        <v>15</v>
      </c>
      <c r="E15" s="4">
        <v>30</v>
      </c>
    </row>
    <row r="16" spans="1:5" ht="15.75" x14ac:dyDescent="0.25">
      <c r="A16" s="35" t="s">
        <v>89</v>
      </c>
      <c r="B16" s="47" t="s">
        <v>10</v>
      </c>
      <c r="C16" s="4">
        <v>10</v>
      </c>
      <c r="D16" s="4">
        <v>15</v>
      </c>
      <c r="E16" s="4">
        <v>30</v>
      </c>
    </row>
    <row r="17" spans="1:5" ht="15.75" x14ac:dyDescent="0.25">
      <c r="A17" s="35" t="s">
        <v>89</v>
      </c>
      <c r="B17" s="47" t="s">
        <v>11</v>
      </c>
      <c r="C17" s="4">
        <v>10</v>
      </c>
      <c r="D17" s="4">
        <v>15</v>
      </c>
      <c r="E17" s="4">
        <v>30</v>
      </c>
    </row>
    <row r="18" spans="1:5" ht="15.75" x14ac:dyDescent="0.25">
      <c r="A18" s="35" t="s">
        <v>88</v>
      </c>
      <c r="B18" s="47" t="s">
        <v>10</v>
      </c>
      <c r="C18" s="4">
        <v>10</v>
      </c>
      <c r="D18" s="4">
        <v>15</v>
      </c>
      <c r="E18" s="4">
        <v>30</v>
      </c>
    </row>
    <row r="19" spans="1:5" ht="15.75" x14ac:dyDescent="0.25">
      <c r="A19" s="35" t="s">
        <v>88</v>
      </c>
      <c r="B19" s="47" t="s">
        <v>11</v>
      </c>
      <c r="C19" s="4">
        <v>10</v>
      </c>
      <c r="D19" s="4">
        <v>15</v>
      </c>
      <c r="E19" s="4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5"/>
  <sheetViews>
    <sheetView zoomScale="160" zoomScaleNormal="160" workbookViewId="0">
      <selection activeCell="A3" sqref="A3"/>
    </sheetView>
  </sheetViews>
  <sheetFormatPr baseColWidth="10" defaultRowHeight="18.75" x14ac:dyDescent="0.25"/>
  <cols>
    <col min="1" max="1" width="44.140625" style="59" customWidth="1"/>
    <col min="2" max="2" width="18.140625" style="59" customWidth="1"/>
    <col min="3" max="16384" width="11.42578125" style="59"/>
  </cols>
  <sheetData>
    <row r="1" spans="1:3" x14ac:dyDescent="0.25">
      <c r="A1" s="63" t="s">
        <v>44</v>
      </c>
      <c r="B1" s="63"/>
      <c r="C1" s="63" t="s">
        <v>13</v>
      </c>
    </row>
    <row r="2" spans="1:3" x14ac:dyDescent="0.25">
      <c r="A2" s="60" t="s">
        <v>84</v>
      </c>
      <c r="B2" s="61">
        <f ca="1">+SUMIFS('Import - recap'!BB:BB,'Import - recap'!G:G,'RC'!A2)</f>
        <v>3300</v>
      </c>
      <c r="C2" s="62" t="e">
        <f ca="1">+B2/#REF!</f>
        <v>#REF!</v>
      </c>
    </row>
    <row r="3" spans="1:3" x14ac:dyDescent="0.25">
      <c r="A3" s="60" t="s">
        <v>109</v>
      </c>
      <c r="B3" s="61">
        <f>+SUMIFS('Import - recap'!BB:BB,'Import - recap'!G:G,'RC'!A3)</f>
        <v>0</v>
      </c>
      <c r="C3" s="62" t="e">
        <f>+B3/#REF!</f>
        <v>#REF!</v>
      </c>
    </row>
    <row r="4" spans="1:3" x14ac:dyDescent="0.25">
      <c r="A4" s="60" t="s">
        <v>85</v>
      </c>
      <c r="B4" s="61">
        <f>+SUMIFS('Import - recap'!BB:BB,'Import - recap'!G:G,'RC'!A4)</f>
        <v>0</v>
      </c>
      <c r="C4" s="62" t="e">
        <f>+B4/#REF!</f>
        <v>#REF!</v>
      </c>
    </row>
    <row r="5" spans="1:3" x14ac:dyDescent="0.25">
      <c r="A5" s="60" t="s">
        <v>86</v>
      </c>
      <c r="B5" s="61">
        <f>+SUMIFS('Import - recap'!BB:BB,'Import - recap'!G:G,'RC'!A5)</f>
        <v>0</v>
      </c>
      <c r="C5" s="62" t="e">
        <f>+B5/#REF!</f>
        <v>#REF!</v>
      </c>
    </row>
  </sheetData>
  <dataValidations count="1">
    <dataValidation type="list" allowBlank="1" showInputMessage="1" showErrorMessage="1" sqref="A2:A5">
      <mc:AlternateContent xmlns:x12ac="http://schemas.microsoft.com/office/spreadsheetml/2011/1/ac" xmlns:mc="http://schemas.openxmlformats.org/markup-compatibility/2006">
        <mc:Choice Requires="x12ac">
          <x12ac:list>Arrived at Port,"Arrived at Factory, Not Paid",Closed,"Paid, Not Yet Arrived at Factory",In Transit</x12ac:list>
        </mc:Choice>
        <mc:Fallback>
          <formula1>"Arrived at Port,Arrived at Factory, Not Paid,Closed,Paid, Not Yet Arrived at Factory,In Transit"</formula1>
        </mc:Fallback>
      </mc:AlternateContent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Import Record Details</vt:lpstr>
      <vt:lpstr>Import - recap</vt:lpstr>
      <vt:lpstr>Schedule</vt:lpstr>
      <vt:lpstr>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EMNA CG</dc:creator>
  <cp:lastModifiedBy>Admin</cp:lastModifiedBy>
  <cp:lastPrinted>2023-09-11T08:51:37Z</cp:lastPrinted>
  <dcterms:created xsi:type="dcterms:W3CDTF">2023-03-29T08:24:14Z</dcterms:created>
  <dcterms:modified xsi:type="dcterms:W3CDTF">2025-11-19T21:11:08Z</dcterms:modified>
</cp:coreProperties>
</file>